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bionstone.sharepoint.com/sites/Directors/Shared Documents/Trade Remedies Authority/TRA - September Draft/"/>
    </mc:Choice>
  </mc:AlternateContent>
  <xr:revisionPtr revIDLastSave="154" documentId="8_{F70E1725-9521-4F8A-A269-02D61A5009AE}" xr6:coauthVersionLast="47" xr6:coauthVersionMax="47" xr10:uidLastSave="{C68105E2-B066-4866-8EBC-7A2EAE5EB2AA}"/>
  <bookViews>
    <workbookView xWindow="-120" yWindow="-120" windowWidth="29040" windowHeight="15720" activeTab="1" xr2:uid="{B7648B8D-096D-4884-A13A-F4EFC7C29E85}"/>
  </bookViews>
  <sheets>
    <sheet name="Total Subsidy" sheetId="1" r:id="rId1"/>
    <sheet name="Turnover Estimate" sheetId="4" r:id="rId2"/>
    <sheet name="POI Subsid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16" i="3"/>
  <c r="B15" i="3"/>
  <c r="K13" i="3"/>
  <c r="G13" i="3"/>
  <c r="E13" i="3"/>
  <c r="K12" i="3"/>
  <c r="G12" i="3"/>
  <c r="E12" i="3"/>
  <c r="C40" i="4"/>
  <c r="C34" i="4"/>
  <c r="C35" i="4" s="1"/>
  <c r="C36" i="4" s="1"/>
  <c r="C37" i="4" s="1"/>
  <c r="C38" i="4" s="1"/>
  <c r="C33" i="4"/>
  <c r="D29" i="4"/>
  <c r="D23" i="4"/>
  <c r="D24" i="4"/>
  <c r="D25" i="4"/>
  <c r="D26" i="4"/>
  <c r="D27" i="4"/>
  <c r="D28" i="4"/>
  <c r="D22" i="4"/>
  <c r="C23" i="4"/>
  <c r="C29" i="4" s="1"/>
  <c r="C24" i="4"/>
  <c r="C25" i="4"/>
  <c r="C26" i="4"/>
  <c r="C27" i="4"/>
  <c r="C28" i="4"/>
  <c r="C22" i="4"/>
  <c r="E17" i="1"/>
  <c r="F17" i="1"/>
  <c r="G17" i="1"/>
  <c r="H17" i="1"/>
  <c r="I17" i="1"/>
  <c r="J17" i="1"/>
  <c r="K17" i="1"/>
  <c r="L17" i="1"/>
  <c r="D17" i="1"/>
  <c r="I10" i="3"/>
  <c r="E10" i="3"/>
  <c r="F10" i="3"/>
  <c r="G10" i="3"/>
  <c r="H10" i="3"/>
  <c r="J10" i="3"/>
  <c r="K10" i="3"/>
  <c r="D10" i="3"/>
  <c r="E9" i="3"/>
  <c r="F9" i="3"/>
  <c r="G9" i="3"/>
  <c r="H9" i="3"/>
  <c r="I9" i="3"/>
  <c r="J9" i="3"/>
  <c r="K9" i="3"/>
  <c r="E7" i="3"/>
  <c r="F7" i="3"/>
  <c r="G7" i="3"/>
  <c r="H7" i="3"/>
  <c r="I7" i="3"/>
  <c r="J7" i="3"/>
  <c r="K7" i="3"/>
  <c r="E5" i="3"/>
  <c r="F5" i="3"/>
  <c r="G5" i="3"/>
  <c r="H5" i="3"/>
  <c r="I5" i="3"/>
  <c r="J5" i="3"/>
  <c r="K5" i="3"/>
  <c r="D9" i="3"/>
  <c r="D7" i="3"/>
  <c r="D5" i="3"/>
  <c r="E3" i="3"/>
  <c r="F3" i="3"/>
  <c r="G3" i="3"/>
  <c r="H3" i="3"/>
  <c r="I3" i="3"/>
  <c r="J3" i="3"/>
  <c r="K3" i="3"/>
  <c r="D3" i="3"/>
  <c r="L16" i="1"/>
  <c r="J16" i="1"/>
  <c r="I16" i="1"/>
  <c r="E16" i="1"/>
  <c r="D16" i="1"/>
  <c r="G4" i="1"/>
  <c r="G16" i="1" s="1"/>
  <c r="H4" i="1"/>
  <c r="H16" i="1" s="1"/>
  <c r="F4" i="1"/>
  <c r="F16" i="1" s="1"/>
  <c r="K4" i="1"/>
  <c r="K16" i="1" s="1"/>
  <c r="M16" i="1" l="1"/>
</calcChain>
</file>

<file path=xl/sharedStrings.xml><?xml version="1.0" encoding="utf-8"?>
<sst xmlns="http://schemas.openxmlformats.org/spreadsheetml/2006/main" count="91" uniqueCount="61">
  <si>
    <t>Airelimestone</t>
  </si>
  <si>
    <t>Dimpomar</t>
  </si>
  <si>
    <t>Filstone</t>
  </si>
  <si>
    <t>LSI Stone</t>
  </si>
  <si>
    <t>Marfilpe</t>
  </si>
  <si>
    <t>MRF Natural Stone</t>
  </si>
  <si>
    <t>Pedramoca</t>
  </si>
  <si>
    <t>Solancis</t>
  </si>
  <si>
    <t>Business Innovation Project - CENTRO-02-0853-FEDER-018610</t>
  </si>
  <si>
    <t>SME INTERNATIONALIZATION PROGRAM</t>
  </si>
  <si>
    <t>INOVSTONE 4.0 - Advanced Technology and Software for Natural Stone</t>
  </si>
  <si>
    <t>LSI StoneWorld</t>
  </si>
  <si>
    <t>LSI Stone Digital Factory</t>
  </si>
  <si>
    <t>Business Innovation Project - POCI-02-0853-FEDER-047397</t>
  </si>
  <si>
    <t>SDF 365 – Stone Digital Fabrication</t>
  </si>
  <si>
    <t>INTERSTONE</t>
  </si>
  <si>
    <t>INOVMINERAL 4.0 - Advanced Technology and Software for Natural Stone</t>
  </si>
  <si>
    <t>Hiring of Highly Qualified Human Resources (SME or CoLab)</t>
  </si>
  <si>
    <t>Sustainable Stone by Portugal Agenda</t>
  </si>
  <si>
    <t>PRODUTECH R3 - Mobilizing Agenda for the Production Technologies Sector for Reindustrialization</t>
  </si>
  <si>
    <t>Incorporation of Renewable Energy and Energy Efficiency Measures</t>
  </si>
  <si>
    <t>Intelligent Automation in Natural Stone Extraction</t>
  </si>
  <si>
    <t>Farpedra</t>
  </si>
  <si>
    <t>Comments</t>
  </si>
  <si>
    <t>https://assimagra.pt/en/projectos/interstone-2023-2024/</t>
  </si>
  <si>
    <t>No individual data. Taken total cost and split between companies Total 5,686,111.5 Divided by 20 companies</t>
  </si>
  <si>
    <t>Source (Also in Subsidy Programmes Folder)</t>
  </si>
  <si>
    <t>https://ppr.transparencia.gov.pt/pt/fundos-europeus/prr/beneficiarios-projetos/projeto/01/C05-i12/2024.PC644943391-00000051/</t>
  </si>
  <si>
    <t>https://ppr.transparencia.gov.pt/pt/fundos-europeus/prr/beneficiarios-projetos/projeto/01/C16-i04/2023.P9644/</t>
  </si>
  <si>
    <t>https://ppr.transparencia.gov.pt/pt/fundos-europeus/prr/beneficiarios-projetos/projeto/03/C11-i01/2022.P4426/</t>
  </si>
  <si>
    <t>https://ppr.transparencia.gov.pt/en/fundos-europeus/prr/beneficiarios-projetos/projeto/01/C05-i11/2024.PC645808870-00000067/</t>
  </si>
  <si>
    <t>https://www.ptpc.pt/inovmineral/</t>
  </si>
  <si>
    <t>PDF in folder - Ficha_de_Projeto_FSE_e_Ficha_Projeto_FEDER_Alentejo_SDF365_Inovacao_Produtiva_1</t>
  </si>
  <si>
    <t>https://www.farpedra.com/projectos/projecto-de-inovacao-empresarial-poci-02-0853-feder-047397</t>
  </si>
  <si>
    <t>https://lsi-stone.com/Cofinanciamento/</t>
  </si>
  <si>
    <t>https://ppr.transparencia.gov.pt/pt/pesquisar/?query=INOVSTONE%204.0</t>
  </si>
  <si>
    <t>PDF in folder - farpedra-fichaweb-internacionaliza-o-nov2017</t>
  </si>
  <si>
    <t>https://www.farpedra.com/projectos/projecto-de-inovacao-empresarial-centro-02-0853-feder-018610</t>
  </si>
  <si>
    <t>https://assimagra.pt/en/projectos/interstone-2019-2020/</t>
  </si>
  <si>
    <t>Used Cost for 2023 and divided by 2019 companies - Total 3,441,388.51 divided by 39</t>
  </si>
  <si>
    <t>Total</t>
  </si>
  <si>
    <t>TOTAL</t>
  </si>
  <si>
    <t>Start Date</t>
  </si>
  <si>
    <t>End Date</t>
  </si>
  <si>
    <t>LSI state on their website that they have received 2,080,000.00</t>
  </si>
  <si>
    <t>Amount attributable in POI per year</t>
  </si>
  <si>
    <t>Total subsidy falling within POI</t>
  </si>
  <si>
    <t>Total apportioned for POI</t>
  </si>
  <si>
    <t>Year</t>
  </si>
  <si>
    <t>Turnover</t>
  </si>
  <si>
    <t>Albon Stone figures</t>
  </si>
  <si>
    <t>Albion Stone Turnover prior to the subsidies of Portuguses Stone Industry</t>
  </si>
  <si>
    <t>Yearly growth</t>
  </si>
  <si>
    <t xml:space="preserve">Average annual growth.  </t>
  </si>
  <si>
    <t>LSI turnover 2019</t>
  </si>
  <si>
    <t>POI 1st April 24 to 31st March 2025</t>
  </si>
  <si>
    <t>Estimated turnover in POI of companies with similar sized operations to LSI</t>
  </si>
  <si>
    <t>Estimate subidy margin</t>
  </si>
  <si>
    <t>Total subsidy amount for similar sized operations to LSI</t>
  </si>
  <si>
    <t>Total estimated turnover for comoanies with simialr sized operations to LSI</t>
  </si>
  <si>
    <t xml:space="preserve">Estaimetd overall subsidy margin.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</si>
</sst>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€-2]\ * #,##0.00_-;\-[$€-2]\ * #,##0.00_-;_-[$€-2]\ * &quot;-&quot;??_-;_-@_-"/>
    <numFmt numFmtId="165" formatCode="_-* #,##0_-;\-* #,##0_-;_-* &quot;-&quot;??_-;_-@_-"/>
    <numFmt numFmtId="168" formatCode="_-[$€-2]\ * #,##0_-;\-[$€-2]\ * #,##0_-;_-[$€-2]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3"/>
      <color rgb="FF7A7A7A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 Narrow"/>
      <family val="2"/>
    </font>
    <font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NumberFormat="1" applyFont="1" applyBorder="1"/>
    <xf numFmtId="0" fontId="0" fillId="0" borderId="0" xfId="0" applyAlignment="1">
      <alignment horizontal="center" wrapText="1"/>
    </xf>
    <xf numFmtId="0" fontId="4" fillId="0" borderId="0" xfId="2" applyBorder="1"/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 indent="1"/>
    </xf>
    <xf numFmtId="164" fontId="0" fillId="0" borderId="1" xfId="1" applyNumberFormat="1" applyFont="1" applyBorder="1"/>
    <xf numFmtId="164" fontId="0" fillId="0" borderId="0" xfId="0" applyNumberFormat="1"/>
    <xf numFmtId="0" fontId="3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164" fontId="0" fillId="0" borderId="2" xfId="0" applyNumberFormat="1" applyBorder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164" fontId="0" fillId="0" borderId="3" xfId="1" applyNumberFormat="1" applyFont="1" applyBorder="1"/>
    <xf numFmtId="0" fontId="0" fillId="0" borderId="7" xfId="0" applyBorder="1"/>
    <xf numFmtId="0" fontId="2" fillId="0" borderId="3" xfId="0" applyFont="1" applyBorder="1" applyAlignment="1">
      <alignment horizontal="right"/>
    </xf>
    <xf numFmtId="0" fontId="3" fillId="2" borderId="9" xfId="0" applyFont="1" applyFill="1" applyBorder="1" applyAlignment="1">
      <alignment vertical="center"/>
    </xf>
    <xf numFmtId="0" fontId="7" fillId="2" borderId="0" xfId="0" applyFont="1" applyFill="1" applyAlignment="1">
      <alignment horizontal="right" vertical="center"/>
    </xf>
    <xf numFmtId="164" fontId="0" fillId="2" borderId="0" xfId="1" applyNumberFormat="1" applyFont="1" applyFill="1" applyBorder="1"/>
    <xf numFmtId="0" fontId="0" fillId="2" borderId="0" xfId="0" applyFill="1" applyAlignment="1">
      <alignment wrapText="1"/>
    </xf>
    <xf numFmtId="0" fontId="0" fillId="2" borderId="5" xfId="0" applyFill="1" applyBorder="1"/>
    <xf numFmtId="0" fontId="0" fillId="2" borderId="0" xfId="0" applyFill="1"/>
    <xf numFmtId="0" fontId="3" fillId="2" borderId="8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164" fontId="0" fillId="2" borderId="1" xfId="1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3" fillId="0" borderId="9" xfId="0" applyFont="1" applyBorder="1" applyAlignment="1">
      <alignment vertical="center"/>
    </xf>
    <xf numFmtId="165" fontId="0" fillId="0" borderId="0" xfId="3" applyNumberFormat="1" applyFont="1"/>
    <xf numFmtId="165" fontId="0" fillId="0" borderId="0" xfId="0" applyNumberFormat="1"/>
    <xf numFmtId="165" fontId="2" fillId="0" borderId="0" xfId="0" applyNumberFormat="1" applyFont="1"/>
    <xf numFmtId="9" fontId="0" fillId="0" borderId="0" xfId="4" applyFont="1"/>
    <xf numFmtId="9" fontId="2" fillId="0" borderId="0" xfId="0" applyNumberFormat="1" applyFont="1"/>
    <xf numFmtId="168" fontId="0" fillId="0" borderId="0" xfId="3" applyNumberFormat="1" applyFont="1"/>
    <xf numFmtId="168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3" xfId="0" applyFont="1" applyBorder="1" applyAlignment="1">
      <alignment wrapText="1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imagra.pt/en/projectos/interstone-2023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6799-B997-4ED1-9190-16EC0DB3C3E4}">
  <dimension ref="A1:U67"/>
  <sheetViews>
    <sheetView workbookViewId="0">
      <selection activeCell="J21" sqref="J21"/>
    </sheetView>
  </sheetViews>
  <sheetFormatPr defaultRowHeight="15" x14ac:dyDescent="0.25"/>
  <cols>
    <col min="1" max="1" width="103.28515625" bestFit="1" customWidth="1"/>
    <col min="2" max="2" width="13.28515625" customWidth="1"/>
    <col min="3" max="3" width="14.7109375" bestFit="1" customWidth="1"/>
    <col min="4" max="5" width="14.7109375" customWidth="1"/>
    <col min="6" max="6" width="13.140625" bestFit="1" customWidth="1"/>
    <col min="7" max="8" width="14.7109375" bestFit="1" customWidth="1"/>
    <col min="9" max="9" width="17.42578125" bestFit="1" customWidth="1"/>
    <col min="10" max="10" width="12" bestFit="1" customWidth="1"/>
    <col min="11" max="12" width="14.7109375" bestFit="1" customWidth="1"/>
    <col min="13" max="13" width="41.42578125" customWidth="1"/>
  </cols>
  <sheetData>
    <row r="1" spans="1:21" x14ac:dyDescent="0.25">
      <c r="A1" s="16"/>
      <c r="B1" s="9" t="s">
        <v>42</v>
      </c>
      <c r="C1" s="9" t="s">
        <v>43</v>
      </c>
      <c r="D1" s="9" t="s">
        <v>0</v>
      </c>
      <c r="E1" s="9" t="s">
        <v>1</v>
      </c>
      <c r="F1" s="9" t="s">
        <v>2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22</v>
      </c>
      <c r="M1" s="9" t="s">
        <v>23</v>
      </c>
      <c r="N1" s="9" t="s">
        <v>26</v>
      </c>
    </row>
    <row r="2" spans="1:21" ht="15.75" x14ac:dyDescent="0.25">
      <c r="A2" s="17" t="s">
        <v>8</v>
      </c>
      <c r="B2" s="13">
        <v>2016</v>
      </c>
      <c r="C2" s="13">
        <v>2018</v>
      </c>
      <c r="D2" s="1"/>
      <c r="E2" s="1"/>
      <c r="F2" s="1"/>
      <c r="G2" s="1"/>
      <c r="H2" s="1"/>
      <c r="I2" s="1"/>
      <c r="J2" s="1"/>
      <c r="K2" s="1"/>
      <c r="L2" s="1">
        <v>2170319.5</v>
      </c>
      <c r="N2" t="s">
        <v>37</v>
      </c>
    </row>
    <row r="3" spans="1:21" ht="15.75" x14ac:dyDescent="0.25">
      <c r="A3" s="17" t="s">
        <v>9</v>
      </c>
      <c r="B3" s="13">
        <v>2016</v>
      </c>
      <c r="C3" s="13">
        <v>2018</v>
      </c>
      <c r="D3" s="1"/>
      <c r="E3" s="1"/>
      <c r="F3" s="1"/>
      <c r="G3" s="1"/>
      <c r="H3" s="1"/>
      <c r="I3" s="1"/>
      <c r="J3" s="1"/>
      <c r="K3" s="1"/>
      <c r="L3" s="1">
        <v>85493.9</v>
      </c>
      <c r="N3" t="s">
        <v>36</v>
      </c>
    </row>
    <row r="4" spans="1:21" ht="15.75" x14ac:dyDescent="0.25">
      <c r="A4" s="17" t="s">
        <v>10</v>
      </c>
      <c r="B4" s="13">
        <v>2017</v>
      </c>
      <c r="C4" s="13">
        <v>2019</v>
      </c>
      <c r="D4" s="1"/>
      <c r="E4" s="1"/>
      <c r="F4" s="1">
        <f>2090+14560</f>
        <v>16650</v>
      </c>
      <c r="G4" s="1">
        <f>21230+148040</f>
        <v>169270</v>
      </c>
      <c r="H4" s="1">
        <f>8250+57510</f>
        <v>65760</v>
      </c>
      <c r="I4" s="1"/>
      <c r="J4" s="1"/>
      <c r="K4" s="1">
        <f>35990+251000</f>
        <v>286990</v>
      </c>
      <c r="L4" s="1"/>
      <c r="N4" s="3" t="s">
        <v>35</v>
      </c>
    </row>
    <row r="5" spans="1:21" ht="15.75" x14ac:dyDescent="0.25">
      <c r="A5" s="17" t="s">
        <v>11</v>
      </c>
      <c r="B5" s="13">
        <v>2018</v>
      </c>
      <c r="C5" s="13">
        <v>2022</v>
      </c>
      <c r="D5" s="1"/>
      <c r="E5" s="1"/>
      <c r="G5" s="1">
        <v>816936.4</v>
      </c>
      <c r="H5" s="1"/>
      <c r="I5" s="1"/>
      <c r="J5" s="1"/>
      <c r="K5" s="1"/>
      <c r="L5" s="1"/>
      <c r="N5" t="s">
        <v>34</v>
      </c>
    </row>
    <row r="6" spans="1:21" ht="15.75" x14ac:dyDescent="0.25">
      <c r="A6" s="17" t="s">
        <v>12</v>
      </c>
      <c r="B6" s="13">
        <v>2019</v>
      </c>
      <c r="C6" s="13">
        <v>2021</v>
      </c>
      <c r="D6" s="1"/>
      <c r="E6" s="1"/>
      <c r="F6" s="1"/>
      <c r="G6" s="1">
        <v>3550426.82</v>
      </c>
      <c r="H6" s="1"/>
      <c r="I6" s="1"/>
      <c r="J6" s="1"/>
      <c r="K6" s="1"/>
      <c r="L6" s="1"/>
      <c r="N6" t="s">
        <v>34</v>
      </c>
    </row>
    <row r="7" spans="1:21" ht="15.75" x14ac:dyDescent="0.25">
      <c r="A7" s="17" t="s">
        <v>13</v>
      </c>
      <c r="B7" s="13">
        <v>2019</v>
      </c>
      <c r="C7" s="13">
        <v>2022</v>
      </c>
      <c r="D7" s="1"/>
      <c r="E7" s="1"/>
      <c r="F7" s="1"/>
      <c r="G7" s="1"/>
      <c r="H7" s="1"/>
      <c r="I7" s="1"/>
      <c r="J7" s="1"/>
      <c r="K7" s="1"/>
      <c r="L7" s="1">
        <v>1621883</v>
      </c>
      <c r="N7" t="s">
        <v>33</v>
      </c>
    </row>
    <row r="8" spans="1:21" ht="15.75" x14ac:dyDescent="0.25">
      <c r="A8" s="17" t="s">
        <v>14</v>
      </c>
      <c r="B8" s="13">
        <v>2019</v>
      </c>
      <c r="C8" s="13">
        <v>2021</v>
      </c>
      <c r="D8" s="1"/>
      <c r="E8" s="1">
        <v>553707</v>
      </c>
      <c r="F8" s="1"/>
      <c r="G8" s="1"/>
      <c r="H8" s="1"/>
      <c r="I8" s="1"/>
      <c r="J8" s="1"/>
      <c r="K8" s="1"/>
      <c r="L8" s="1"/>
      <c r="N8" t="s">
        <v>32</v>
      </c>
    </row>
    <row r="9" spans="1:21" ht="30" x14ac:dyDescent="0.25">
      <c r="A9" s="17" t="s">
        <v>15</v>
      </c>
      <c r="B9" s="13">
        <v>2019</v>
      </c>
      <c r="C9" s="13">
        <v>2020</v>
      </c>
      <c r="D9" s="1">
        <v>88240.73</v>
      </c>
      <c r="E9" s="1">
        <v>88240.73</v>
      </c>
      <c r="F9" s="1"/>
      <c r="G9" s="1"/>
      <c r="H9" s="1">
        <v>88240.73</v>
      </c>
      <c r="I9" s="1"/>
      <c r="J9" s="1"/>
      <c r="K9" s="1">
        <v>88240.73</v>
      </c>
      <c r="L9" s="1">
        <v>88240.73</v>
      </c>
      <c r="M9" s="4" t="s">
        <v>39</v>
      </c>
      <c r="N9" s="3" t="s">
        <v>24</v>
      </c>
      <c r="U9" s="3" t="s">
        <v>38</v>
      </c>
    </row>
    <row r="10" spans="1:21" ht="45" x14ac:dyDescent="0.25">
      <c r="A10" s="17" t="s">
        <v>16</v>
      </c>
      <c r="B10" s="13">
        <v>2020</v>
      </c>
      <c r="C10" s="13">
        <v>2023</v>
      </c>
      <c r="D10" s="1"/>
      <c r="E10" s="1">
        <v>284305.76</v>
      </c>
      <c r="F10" s="1"/>
      <c r="G10" s="1">
        <v>284305.76</v>
      </c>
      <c r="H10" s="1">
        <v>284305.76</v>
      </c>
      <c r="I10" s="1"/>
      <c r="J10" s="1"/>
      <c r="K10" s="1">
        <v>284305.76</v>
      </c>
      <c r="L10" s="1"/>
      <c r="M10" s="2" t="s">
        <v>25</v>
      </c>
      <c r="N10" t="s">
        <v>31</v>
      </c>
    </row>
    <row r="11" spans="1:21" ht="15.75" x14ac:dyDescent="0.25">
      <c r="A11" s="17" t="s">
        <v>17</v>
      </c>
      <c r="B11" s="13">
        <v>2020</v>
      </c>
      <c r="C11" s="13">
        <v>2023</v>
      </c>
      <c r="D11" s="1"/>
      <c r="E11" s="1">
        <v>85140</v>
      </c>
      <c r="F11" s="1"/>
      <c r="G11" s="1"/>
      <c r="H11" s="1"/>
      <c r="I11" s="1"/>
      <c r="J11" s="1"/>
      <c r="K11" s="1"/>
      <c r="L11" s="1"/>
    </row>
    <row r="12" spans="1:21" ht="30" x14ac:dyDescent="0.25">
      <c r="A12" s="17" t="s">
        <v>18</v>
      </c>
      <c r="B12" s="13">
        <v>2022</v>
      </c>
      <c r="C12" s="13">
        <v>2025</v>
      </c>
      <c r="D12" s="1">
        <v>150400</v>
      </c>
      <c r="E12" s="1">
        <v>1550000</v>
      </c>
      <c r="F12" s="1">
        <v>330000</v>
      </c>
      <c r="G12" s="1">
        <v>1510000</v>
      </c>
      <c r="H12" s="1">
        <v>1010000</v>
      </c>
      <c r="I12" s="1">
        <v>293310</v>
      </c>
      <c r="J12" s="1">
        <v>93750</v>
      </c>
      <c r="K12" s="1">
        <v>3640000</v>
      </c>
      <c r="L12" s="1"/>
      <c r="M12" s="4" t="s">
        <v>44</v>
      </c>
      <c r="N12" t="s">
        <v>27</v>
      </c>
    </row>
    <row r="13" spans="1:21" ht="15.75" x14ac:dyDescent="0.25">
      <c r="A13" s="17" t="s">
        <v>19</v>
      </c>
      <c r="B13" s="13">
        <v>2022</v>
      </c>
      <c r="C13" s="13">
        <v>2025</v>
      </c>
      <c r="D13" s="1"/>
      <c r="E13" s="1"/>
      <c r="F13" s="1"/>
      <c r="G13" s="1"/>
      <c r="H13" s="1"/>
      <c r="I13" s="1"/>
      <c r="J13" s="1"/>
      <c r="K13" s="1">
        <v>77150</v>
      </c>
      <c r="L13" s="1"/>
      <c r="N13" t="s">
        <v>30</v>
      </c>
    </row>
    <row r="14" spans="1:21" ht="15.75" x14ac:dyDescent="0.25">
      <c r="A14" s="17" t="s">
        <v>20</v>
      </c>
      <c r="B14" s="13">
        <v>2023</v>
      </c>
      <c r="C14" s="13">
        <v>2025</v>
      </c>
      <c r="D14" s="1"/>
      <c r="E14" s="1">
        <v>355030</v>
      </c>
      <c r="F14" s="1"/>
      <c r="G14" s="1"/>
      <c r="H14" s="1"/>
      <c r="I14" s="1"/>
      <c r="J14" s="1"/>
      <c r="K14" s="1"/>
      <c r="L14" s="1"/>
      <c r="N14" t="s">
        <v>29</v>
      </c>
    </row>
    <row r="15" spans="1:21" ht="15.75" x14ac:dyDescent="0.25">
      <c r="A15" s="18" t="s">
        <v>21</v>
      </c>
      <c r="B15" s="13">
        <v>2024</v>
      </c>
      <c r="C15" s="13">
        <v>2024</v>
      </c>
      <c r="D15" s="6"/>
      <c r="E15" s="6"/>
      <c r="F15" s="6"/>
      <c r="G15" s="6"/>
      <c r="H15" s="6"/>
      <c r="I15" s="6">
        <v>200000</v>
      </c>
      <c r="J15" s="6"/>
      <c r="K15" s="6"/>
      <c r="L15" s="6"/>
      <c r="M15" s="12" t="s">
        <v>41</v>
      </c>
      <c r="N15" t="s">
        <v>28</v>
      </c>
    </row>
    <row r="16" spans="1:21" ht="15.75" x14ac:dyDescent="0.25">
      <c r="A16" s="14" t="s">
        <v>40</v>
      </c>
      <c r="B16" s="15"/>
      <c r="C16" s="15"/>
      <c r="D16" s="10">
        <f t="shared" ref="D16:L16" si="0">SUM(D2:D15)</f>
        <v>238640.72999999998</v>
      </c>
      <c r="E16" s="10">
        <f t="shared" si="0"/>
        <v>2916423.49</v>
      </c>
      <c r="F16" s="10">
        <f t="shared" si="0"/>
        <v>346650</v>
      </c>
      <c r="G16" s="10">
        <f t="shared" si="0"/>
        <v>6330938.9799999995</v>
      </c>
      <c r="H16" s="10">
        <f t="shared" si="0"/>
        <v>1448306.49</v>
      </c>
      <c r="I16" s="10">
        <f t="shared" si="0"/>
        <v>493310</v>
      </c>
      <c r="J16" s="10">
        <f t="shared" si="0"/>
        <v>93750</v>
      </c>
      <c r="K16" s="10">
        <f t="shared" si="0"/>
        <v>4376686.49</v>
      </c>
      <c r="L16" s="10">
        <f t="shared" si="0"/>
        <v>3965937.13</v>
      </c>
      <c r="M16" s="11">
        <f>SUM(D16:L16)</f>
        <v>20210643.309999999</v>
      </c>
    </row>
    <row r="17" spans="1:13" x14ac:dyDescent="0.25">
      <c r="A17" s="8" t="s">
        <v>46</v>
      </c>
      <c r="D17" s="7">
        <f>SUM(D12:D15)</f>
        <v>150400</v>
      </c>
      <c r="E17" s="7">
        <f t="shared" ref="E17:L17" si="1">SUM(E12:E15)</f>
        <v>1905030</v>
      </c>
      <c r="F17" s="7">
        <f t="shared" si="1"/>
        <v>330000</v>
      </c>
      <c r="G17" s="7">
        <f t="shared" si="1"/>
        <v>1510000</v>
      </c>
      <c r="H17" s="7">
        <f t="shared" si="1"/>
        <v>1010000</v>
      </c>
      <c r="I17" s="7">
        <f t="shared" si="1"/>
        <v>493310</v>
      </c>
      <c r="J17" s="7">
        <f t="shared" si="1"/>
        <v>93750</v>
      </c>
      <c r="K17" s="7">
        <f t="shared" si="1"/>
        <v>3717150</v>
      </c>
      <c r="L17" s="7">
        <f t="shared" si="1"/>
        <v>0</v>
      </c>
      <c r="M17" s="7"/>
    </row>
    <row r="21" spans="1:13" x14ac:dyDescent="0.25">
      <c r="A21" t="s">
        <v>24</v>
      </c>
    </row>
    <row r="29" spans="1:13" ht="16.5" x14ac:dyDescent="0.25">
      <c r="M29" s="5"/>
    </row>
    <row r="30" spans="1:13" ht="16.5" x14ac:dyDescent="0.25">
      <c r="M30" s="5"/>
    </row>
    <row r="31" spans="1:13" ht="16.5" x14ac:dyDescent="0.25">
      <c r="M31" s="5"/>
    </row>
    <row r="32" spans="1:13" ht="16.5" x14ac:dyDescent="0.25">
      <c r="M32" s="5"/>
    </row>
    <row r="33" spans="13:13" ht="16.5" x14ac:dyDescent="0.25">
      <c r="M33" s="5"/>
    </row>
    <row r="34" spans="13:13" ht="16.5" x14ac:dyDescent="0.25">
      <c r="M34" s="5"/>
    </row>
    <row r="35" spans="13:13" ht="16.5" x14ac:dyDescent="0.25">
      <c r="M35" s="5"/>
    </row>
    <row r="36" spans="13:13" ht="16.5" x14ac:dyDescent="0.25">
      <c r="M36" s="5"/>
    </row>
    <row r="37" spans="13:13" ht="16.5" x14ac:dyDescent="0.25">
      <c r="M37" s="5"/>
    </row>
    <row r="38" spans="13:13" ht="16.5" x14ac:dyDescent="0.25">
      <c r="M38" s="5"/>
    </row>
    <row r="39" spans="13:13" ht="16.5" x14ac:dyDescent="0.25">
      <c r="M39" s="5"/>
    </row>
    <row r="40" spans="13:13" ht="16.5" x14ac:dyDescent="0.25">
      <c r="M40" s="5"/>
    </row>
    <row r="41" spans="13:13" ht="16.5" x14ac:dyDescent="0.25">
      <c r="M41" s="5"/>
    </row>
    <row r="42" spans="13:13" ht="16.5" x14ac:dyDescent="0.25">
      <c r="M42" s="5"/>
    </row>
    <row r="43" spans="13:13" ht="16.5" x14ac:dyDescent="0.25">
      <c r="M43" s="5"/>
    </row>
    <row r="44" spans="13:13" ht="16.5" x14ac:dyDescent="0.25">
      <c r="M44" s="5"/>
    </row>
    <row r="45" spans="13:13" ht="16.5" x14ac:dyDescent="0.25">
      <c r="M45" s="5"/>
    </row>
    <row r="46" spans="13:13" ht="16.5" x14ac:dyDescent="0.25">
      <c r="M46" s="5"/>
    </row>
    <row r="47" spans="13:13" ht="16.5" x14ac:dyDescent="0.25">
      <c r="M47" s="5"/>
    </row>
    <row r="48" spans="13:13" ht="16.5" x14ac:dyDescent="0.25">
      <c r="M48" s="5"/>
    </row>
    <row r="49" spans="13:13" ht="16.5" x14ac:dyDescent="0.25">
      <c r="M49" s="5"/>
    </row>
    <row r="50" spans="13:13" ht="16.5" x14ac:dyDescent="0.25">
      <c r="M50" s="5"/>
    </row>
    <row r="51" spans="13:13" ht="16.5" x14ac:dyDescent="0.25">
      <c r="M51" s="5"/>
    </row>
    <row r="52" spans="13:13" ht="16.5" x14ac:dyDescent="0.25">
      <c r="M52" s="5"/>
    </row>
    <row r="53" spans="13:13" ht="16.5" x14ac:dyDescent="0.25">
      <c r="M53" s="5"/>
    </row>
    <row r="54" spans="13:13" ht="16.5" x14ac:dyDescent="0.25">
      <c r="M54" s="5"/>
    </row>
    <row r="55" spans="13:13" ht="16.5" x14ac:dyDescent="0.25">
      <c r="M55" s="5"/>
    </row>
    <row r="56" spans="13:13" ht="16.5" x14ac:dyDescent="0.25">
      <c r="M56" s="5"/>
    </row>
    <row r="57" spans="13:13" ht="16.5" x14ac:dyDescent="0.25">
      <c r="M57" s="5"/>
    </row>
    <row r="58" spans="13:13" ht="16.5" x14ac:dyDescent="0.25">
      <c r="M58" s="5"/>
    </row>
    <row r="59" spans="13:13" ht="16.5" x14ac:dyDescent="0.25">
      <c r="M59" s="5"/>
    </row>
    <row r="60" spans="13:13" ht="16.5" x14ac:dyDescent="0.25">
      <c r="M60" s="5"/>
    </row>
    <row r="61" spans="13:13" ht="16.5" x14ac:dyDescent="0.25">
      <c r="M61" s="5"/>
    </row>
    <row r="62" spans="13:13" ht="16.5" x14ac:dyDescent="0.25">
      <c r="M62" s="5"/>
    </row>
    <row r="63" spans="13:13" ht="16.5" x14ac:dyDescent="0.25">
      <c r="M63" s="5"/>
    </row>
    <row r="64" spans="13:13" ht="16.5" x14ac:dyDescent="0.25">
      <c r="M64" s="5"/>
    </row>
    <row r="65" spans="13:13" ht="16.5" x14ac:dyDescent="0.25">
      <c r="M65" s="5"/>
    </row>
    <row r="66" spans="13:13" ht="16.5" x14ac:dyDescent="0.25">
      <c r="M66" s="5"/>
    </row>
    <row r="67" spans="13:13" ht="16.5" x14ac:dyDescent="0.25">
      <c r="M67" s="5"/>
    </row>
  </sheetData>
  <hyperlinks>
    <hyperlink ref="N9" r:id="rId1" xr:uid="{ABD5894D-64F2-4BCF-B010-ACF62B73AD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2F48-9D22-49D3-BF8B-A52611F5FD49}">
  <dimension ref="A1:G40"/>
  <sheetViews>
    <sheetView tabSelected="1" topLeftCell="A7" workbookViewId="0">
      <selection activeCell="D40" sqref="D40"/>
    </sheetView>
  </sheetViews>
  <sheetFormatPr defaultRowHeight="15" x14ac:dyDescent="0.25"/>
  <cols>
    <col min="1" max="1" width="6.28515625" customWidth="1"/>
    <col min="2" max="2" width="31.42578125" bestFit="1" customWidth="1"/>
    <col min="3" max="3" width="14.28515625" bestFit="1" customWidth="1"/>
    <col min="4" max="4" width="19.85546875" customWidth="1"/>
    <col min="6" max="6" width="10.5703125" bestFit="1" customWidth="1"/>
    <col min="7" max="7" width="12.7109375" bestFit="1" customWidth="1"/>
  </cols>
  <sheetData>
    <row r="1" spans="1:6" x14ac:dyDescent="0.25">
      <c r="A1" t="s">
        <v>50</v>
      </c>
    </row>
    <row r="2" spans="1:6" x14ac:dyDescent="0.25">
      <c r="A2" t="s">
        <v>48</v>
      </c>
      <c r="B2" t="s">
        <v>49</v>
      </c>
    </row>
    <row r="3" spans="1:6" x14ac:dyDescent="0.25">
      <c r="A3">
        <v>2010</v>
      </c>
      <c r="B3" s="36">
        <v>3200000</v>
      </c>
    </row>
    <row r="4" spans="1:6" x14ac:dyDescent="0.25">
      <c r="A4">
        <v>2011</v>
      </c>
      <c r="B4" s="36">
        <v>3600000</v>
      </c>
    </row>
    <row r="5" spans="1:6" x14ac:dyDescent="0.25">
      <c r="A5">
        <v>2012</v>
      </c>
      <c r="B5" s="36">
        <v>4550000</v>
      </c>
    </row>
    <row r="6" spans="1:6" x14ac:dyDescent="0.25">
      <c r="A6">
        <v>2013</v>
      </c>
      <c r="B6" s="36">
        <v>4600000</v>
      </c>
      <c r="F6" s="36"/>
    </row>
    <row r="7" spans="1:6" x14ac:dyDescent="0.25">
      <c r="A7">
        <v>2014</v>
      </c>
      <c r="B7" s="36">
        <v>5750000</v>
      </c>
      <c r="F7" s="36"/>
    </row>
    <row r="8" spans="1:6" x14ac:dyDescent="0.25">
      <c r="A8">
        <v>2015</v>
      </c>
      <c r="B8" s="36">
        <v>6000000</v>
      </c>
      <c r="F8" s="36"/>
    </row>
    <row r="9" spans="1:6" x14ac:dyDescent="0.25">
      <c r="A9">
        <v>2016</v>
      </c>
      <c r="B9" s="36">
        <v>7250000</v>
      </c>
      <c r="F9" s="36"/>
    </row>
    <row r="10" spans="1:6" x14ac:dyDescent="0.25">
      <c r="A10">
        <v>2017</v>
      </c>
      <c r="B10" s="36">
        <v>8500000</v>
      </c>
      <c r="F10" s="36"/>
    </row>
    <row r="11" spans="1:6" x14ac:dyDescent="0.25">
      <c r="A11">
        <v>2018</v>
      </c>
      <c r="B11" s="36">
        <v>6700000</v>
      </c>
      <c r="F11" s="36"/>
    </row>
    <row r="12" spans="1:6" x14ac:dyDescent="0.25">
      <c r="A12">
        <v>2019</v>
      </c>
      <c r="B12" s="36">
        <v>6200000</v>
      </c>
      <c r="F12" s="36"/>
    </row>
    <row r="13" spans="1:6" x14ac:dyDescent="0.25">
      <c r="A13">
        <v>2020</v>
      </c>
      <c r="B13" s="36">
        <v>7300000</v>
      </c>
      <c r="F13" s="36"/>
    </row>
    <row r="14" spans="1:6" x14ac:dyDescent="0.25">
      <c r="A14">
        <v>2021</v>
      </c>
      <c r="B14" s="36">
        <v>6200000</v>
      </c>
      <c r="F14" s="36"/>
    </row>
    <row r="15" spans="1:6" x14ac:dyDescent="0.25">
      <c r="A15">
        <v>2022</v>
      </c>
      <c r="B15" s="36">
        <v>5800000</v>
      </c>
      <c r="F15" s="36"/>
    </row>
    <row r="16" spans="1:6" x14ac:dyDescent="0.25">
      <c r="A16">
        <v>2023</v>
      </c>
      <c r="B16" s="36">
        <v>6100000</v>
      </c>
      <c r="F16" s="36"/>
    </row>
    <row r="17" spans="1:7" x14ac:dyDescent="0.25">
      <c r="A17">
        <v>2024</v>
      </c>
      <c r="B17" s="36">
        <v>7700000</v>
      </c>
      <c r="F17" s="36"/>
    </row>
    <row r="19" spans="1:7" x14ac:dyDescent="0.25">
      <c r="A19" t="s">
        <v>51</v>
      </c>
    </row>
    <row r="20" spans="1:7" x14ac:dyDescent="0.25">
      <c r="A20" t="s">
        <v>48</v>
      </c>
      <c r="B20" t="s">
        <v>49</v>
      </c>
      <c r="C20" t="s">
        <v>52</v>
      </c>
    </row>
    <row r="21" spans="1:7" x14ac:dyDescent="0.25">
      <c r="A21">
        <v>2010</v>
      </c>
      <c r="B21" s="36">
        <v>3200000</v>
      </c>
      <c r="F21" s="36"/>
    </row>
    <row r="22" spans="1:7" x14ac:dyDescent="0.25">
      <c r="A22">
        <v>2011</v>
      </c>
      <c r="B22" s="36">
        <v>3600000</v>
      </c>
      <c r="C22" s="37">
        <f>B22-B21</f>
        <v>400000</v>
      </c>
      <c r="D22" s="39">
        <f>(B22-B21)/B21</f>
        <v>0.125</v>
      </c>
      <c r="F22" s="36"/>
      <c r="G22" s="37"/>
    </row>
    <row r="23" spans="1:7" x14ac:dyDescent="0.25">
      <c r="A23">
        <v>2012</v>
      </c>
      <c r="B23" s="36">
        <v>4550000</v>
      </c>
      <c r="C23" s="37">
        <f t="shared" ref="C23:C29" si="0">B23-B22</f>
        <v>950000</v>
      </c>
      <c r="D23" s="39">
        <f>(B23-B22)/B22</f>
        <v>0.2638888888888889</v>
      </c>
      <c r="F23" s="36"/>
      <c r="G23" s="37"/>
    </row>
    <row r="24" spans="1:7" x14ac:dyDescent="0.25">
      <c r="A24">
        <v>2013</v>
      </c>
      <c r="B24" s="36">
        <v>4600000</v>
      </c>
      <c r="C24" s="37">
        <f t="shared" si="0"/>
        <v>50000</v>
      </c>
      <c r="D24" s="39">
        <f>(B24-B23)/B23</f>
        <v>1.098901098901099E-2</v>
      </c>
      <c r="F24" s="36"/>
      <c r="G24" s="37"/>
    </row>
    <row r="25" spans="1:7" x14ac:dyDescent="0.25">
      <c r="A25">
        <v>2014</v>
      </c>
      <c r="B25" s="36">
        <v>5750000</v>
      </c>
      <c r="C25" s="37">
        <f t="shared" si="0"/>
        <v>1150000</v>
      </c>
      <c r="D25" s="39">
        <f>(B25-B24)/B24</f>
        <v>0.25</v>
      </c>
      <c r="G25" s="37"/>
    </row>
    <row r="26" spans="1:7" x14ac:dyDescent="0.25">
      <c r="A26">
        <v>2015</v>
      </c>
      <c r="B26" s="36">
        <v>6000000</v>
      </c>
      <c r="C26" s="37">
        <f t="shared" si="0"/>
        <v>250000</v>
      </c>
      <c r="D26" s="39">
        <f>(B26-B25)/B25</f>
        <v>4.3478260869565216E-2</v>
      </c>
    </row>
    <row r="27" spans="1:7" x14ac:dyDescent="0.25">
      <c r="A27">
        <v>2016</v>
      </c>
      <c r="B27" s="36">
        <v>7250000</v>
      </c>
      <c r="C27" s="37">
        <f t="shared" si="0"/>
        <v>1250000</v>
      </c>
      <c r="D27" s="39">
        <f>(B27-B26)/B26</f>
        <v>0.20833333333333334</v>
      </c>
    </row>
    <row r="28" spans="1:7" x14ac:dyDescent="0.25">
      <c r="A28">
        <v>2017</v>
      </c>
      <c r="B28" s="36">
        <v>8500000</v>
      </c>
      <c r="C28" s="37">
        <f t="shared" si="0"/>
        <v>1250000</v>
      </c>
      <c r="D28" s="39">
        <f>(B28-B27)/B27</f>
        <v>0.17241379310344829</v>
      </c>
    </row>
    <row r="29" spans="1:7" x14ac:dyDescent="0.25">
      <c r="B29" s="9" t="s">
        <v>53</v>
      </c>
      <c r="C29" s="38">
        <f>SUM(C22:C28)/7</f>
        <v>757142.85714285716</v>
      </c>
      <c r="D29" s="40">
        <f>AVERAGE(D22:D28)</f>
        <v>0.15344332674060665</v>
      </c>
    </row>
    <row r="32" spans="1:7" x14ac:dyDescent="0.25">
      <c r="B32" t="s">
        <v>54</v>
      </c>
      <c r="C32" s="36">
        <v>8020000</v>
      </c>
    </row>
    <row r="33" spans="2:3" x14ac:dyDescent="0.25">
      <c r="B33">
        <v>2020</v>
      </c>
      <c r="C33" s="37">
        <f>C32+(C32*$D$29)</f>
        <v>9250615.4804596659</v>
      </c>
    </row>
    <row r="34" spans="2:3" x14ac:dyDescent="0.25">
      <c r="B34">
        <v>2021</v>
      </c>
      <c r="C34" s="37">
        <f t="shared" ref="C34:C38" si="1">C33+(C33*$D$29)</f>
        <v>10670060.694179552</v>
      </c>
    </row>
    <row r="35" spans="2:3" x14ac:dyDescent="0.25">
      <c r="B35">
        <v>2022</v>
      </c>
      <c r="C35" s="37">
        <f t="shared" si="1"/>
        <v>12307310.303618649</v>
      </c>
    </row>
    <row r="36" spans="2:3" x14ac:dyDescent="0.25">
      <c r="B36">
        <v>2023</v>
      </c>
      <c r="C36" s="37">
        <f t="shared" si="1"/>
        <v>14195784.939834841</v>
      </c>
    </row>
    <row r="37" spans="2:3" x14ac:dyDescent="0.25">
      <c r="B37">
        <v>2024</v>
      </c>
      <c r="C37" s="37">
        <f t="shared" si="1"/>
        <v>16374033.406697301</v>
      </c>
    </row>
    <row r="38" spans="2:3" x14ac:dyDescent="0.25">
      <c r="B38">
        <v>2025</v>
      </c>
      <c r="C38" s="37">
        <f t="shared" si="1"/>
        <v>18886519.564782765</v>
      </c>
    </row>
    <row r="40" spans="2:3" x14ac:dyDescent="0.25">
      <c r="B40" t="s">
        <v>55</v>
      </c>
      <c r="C40" s="37">
        <f>(C37*75%)+(C38*25%)</f>
        <v>17002154.946218666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7D1D-1227-4CE2-AE0C-D0AB773BB16C}">
  <dimension ref="A1:N17"/>
  <sheetViews>
    <sheetView workbookViewId="0">
      <selection activeCell="N18" sqref="N18"/>
    </sheetView>
  </sheetViews>
  <sheetFormatPr defaultRowHeight="15" x14ac:dyDescent="0.25"/>
  <cols>
    <col min="1" max="1" width="103.28515625" bestFit="1" customWidth="1"/>
    <col min="2" max="2" width="14.7109375" bestFit="1" customWidth="1"/>
    <col min="3" max="3" width="9.140625" bestFit="1" customWidth="1"/>
    <col min="4" max="4" width="13.85546875" bestFit="1" customWidth="1"/>
    <col min="5" max="5" width="15.7109375" bestFit="1" customWidth="1"/>
    <col min="6" max="6" width="13.140625" bestFit="1" customWidth="1"/>
    <col min="7" max="7" width="15.7109375" bestFit="1" customWidth="1"/>
    <col min="8" max="8" width="14.7109375" bestFit="1" customWidth="1"/>
    <col min="9" max="9" width="17.85546875" bestFit="1" customWidth="1"/>
    <col min="10" max="10" width="12" bestFit="1" customWidth="1"/>
    <col min="11" max="11" width="15.7109375" bestFit="1" customWidth="1"/>
    <col min="12" max="12" width="8.85546875" bestFit="1" customWidth="1"/>
    <col min="13" max="13" width="31.5703125" customWidth="1"/>
    <col min="14" max="14" width="118.140625" bestFit="1" customWidth="1"/>
  </cols>
  <sheetData>
    <row r="1" spans="1:14" x14ac:dyDescent="0.25">
      <c r="A1" s="16"/>
      <c r="B1" s="9" t="s">
        <v>42</v>
      </c>
      <c r="C1" s="9" t="s">
        <v>43</v>
      </c>
      <c r="D1" s="9" t="s">
        <v>0</v>
      </c>
      <c r="E1" s="9" t="s">
        <v>1</v>
      </c>
      <c r="F1" s="9" t="s">
        <v>2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22</v>
      </c>
      <c r="M1" s="44" t="s">
        <v>23</v>
      </c>
      <c r="N1" s="9" t="s">
        <v>26</v>
      </c>
    </row>
    <row r="2" spans="1:14" ht="24.75" customHeight="1" x14ac:dyDescent="0.25">
      <c r="A2" s="19" t="s">
        <v>18</v>
      </c>
      <c r="B2" s="20">
        <v>2022</v>
      </c>
      <c r="C2" s="20">
        <v>2025</v>
      </c>
      <c r="D2" s="21">
        <v>150400</v>
      </c>
      <c r="E2" s="21">
        <v>1550000</v>
      </c>
      <c r="F2" s="21">
        <v>330000</v>
      </c>
      <c r="G2" s="21">
        <v>1510000</v>
      </c>
      <c r="H2" s="21">
        <v>1010000</v>
      </c>
      <c r="I2" s="21">
        <v>293310</v>
      </c>
      <c r="J2" s="21">
        <v>93750</v>
      </c>
      <c r="K2" s="21">
        <v>3640000</v>
      </c>
      <c r="L2" s="21"/>
      <c r="M2" s="45" t="s">
        <v>44</v>
      </c>
      <c r="N2" s="22" t="s">
        <v>27</v>
      </c>
    </row>
    <row r="3" spans="1:14" s="29" customFormat="1" ht="15.75" x14ac:dyDescent="0.25">
      <c r="A3" s="24" t="s">
        <v>45</v>
      </c>
      <c r="B3" s="25"/>
      <c r="C3" s="25"/>
      <c r="D3" s="26">
        <f>D2/3</f>
        <v>50133.333333333336</v>
      </c>
      <c r="E3" s="26">
        <f t="shared" ref="E3:K3" si="0">E2/3</f>
        <v>516666.66666666669</v>
      </c>
      <c r="F3" s="26">
        <f t="shared" si="0"/>
        <v>110000</v>
      </c>
      <c r="G3" s="26">
        <f t="shared" si="0"/>
        <v>503333.33333333331</v>
      </c>
      <c r="H3" s="26">
        <f t="shared" si="0"/>
        <v>336666.66666666669</v>
      </c>
      <c r="I3" s="26">
        <f t="shared" si="0"/>
        <v>97770</v>
      </c>
      <c r="J3" s="26">
        <f t="shared" si="0"/>
        <v>31250</v>
      </c>
      <c r="K3" s="26">
        <f t="shared" si="0"/>
        <v>1213333.3333333333</v>
      </c>
      <c r="L3" s="26"/>
      <c r="M3" s="27"/>
      <c r="N3" s="28"/>
    </row>
    <row r="4" spans="1:14" s="15" customFormat="1" ht="15.75" x14ac:dyDescent="0.25">
      <c r="A4" s="19" t="s">
        <v>19</v>
      </c>
      <c r="B4" s="20">
        <v>2022</v>
      </c>
      <c r="C4" s="20">
        <v>2025</v>
      </c>
      <c r="D4" s="21"/>
      <c r="E4" s="21"/>
      <c r="F4" s="21"/>
      <c r="G4" s="21"/>
      <c r="H4" s="21"/>
      <c r="I4" s="21"/>
      <c r="J4" s="21"/>
      <c r="K4" s="21">
        <v>77150</v>
      </c>
      <c r="L4" s="21"/>
      <c r="N4" s="15" t="s">
        <v>30</v>
      </c>
    </row>
    <row r="5" spans="1:14" s="33" customFormat="1" ht="15.75" x14ac:dyDescent="0.25">
      <c r="A5" s="30" t="s">
        <v>45</v>
      </c>
      <c r="B5" s="31"/>
      <c r="C5" s="31"/>
      <c r="D5" s="32">
        <f>D4/3</f>
        <v>0</v>
      </c>
      <c r="E5" s="32">
        <f t="shared" ref="E5:K5" si="1">E4/3</f>
        <v>0</v>
      </c>
      <c r="F5" s="32">
        <f t="shared" si="1"/>
        <v>0</v>
      </c>
      <c r="G5" s="32">
        <f t="shared" si="1"/>
        <v>0</v>
      </c>
      <c r="H5" s="32">
        <f t="shared" si="1"/>
        <v>0</v>
      </c>
      <c r="I5" s="32">
        <f t="shared" si="1"/>
        <v>0</v>
      </c>
      <c r="J5" s="32">
        <f t="shared" si="1"/>
        <v>0</v>
      </c>
      <c r="K5" s="32">
        <f t="shared" si="1"/>
        <v>25716.666666666668</v>
      </c>
      <c r="L5" s="32"/>
    </row>
    <row r="6" spans="1:14" s="15" customFormat="1" ht="15.75" x14ac:dyDescent="0.25">
      <c r="A6" s="19" t="s">
        <v>20</v>
      </c>
      <c r="B6" s="20">
        <v>2023</v>
      </c>
      <c r="C6" s="20">
        <v>2025</v>
      </c>
      <c r="D6" s="21"/>
      <c r="E6" s="21">
        <v>355030</v>
      </c>
      <c r="F6" s="21"/>
      <c r="G6" s="21"/>
      <c r="H6" s="21"/>
      <c r="I6" s="21"/>
      <c r="J6" s="21"/>
      <c r="K6" s="21"/>
      <c r="L6" s="21"/>
      <c r="N6" s="15" t="s">
        <v>29</v>
      </c>
    </row>
    <row r="7" spans="1:14" s="29" customFormat="1" ht="15.75" x14ac:dyDescent="0.25">
      <c r="A7" s="24" t="s">
        <v>45</v>
      </c>
      <c r="B7" s="25"/>
      <c r="C7" s="25"/>
      <c r="D7" s="26">
        <f>D6/2</f>
        <v>0</v>
      </c>
      <c r="E7" s="26">
        <f t="shared" ref="E7:K7" si="2">E6/2</f>
        <v>177515</v>
      </c>
      <c r="F7" s="26">
        <f t="shared" si="2"/>
        <v>0</v>
      </c>
      <c r="G7" s="26">
        <f t="shared" si="2"/>
        <v>0</v>
      </c>
      <c r="H7" s="26">
        <f t="shared" si="2"/>
        <v>0</v>
      </c>
      <c r="I7" s="26">
        <f t="shared" si="2"/>
        <v>0</v>
      </c>
      <c r="J7" s="26">
        <f t="shared" si="2"/>
        <v>0</v>
      </c>
      <c r="K7" s="26">
        <f t="shared" si="2"/>
        <v>0</v>
      </c>
      <c r="L7" s="26"/>
    </row>
    <row r="8" spans="1:14" s="15" customFormat="1" ht="15.75" x14ac:dyDescent="0.25">
      <c r="A8" s="19" t="s">
        <v>21</v>
      </c>
      <c r="B8" s="20">
        <v>2024</v>
      </c>
      <c r="C8" s="20">
        <v>2024</v>
      </c>
      <c r="D8" s="21"/>
      <c r="E8" s="21"/>
      <c r="F8" s="21"/>
      <c r="G8" s="21"/>
      <c r="H8" s="21"/>
      <c r="I8" s="21">
        <v>200000</v>
      </c>
      <c r="J8" s="21"/>
      <c r="K8" s="21"/>
      <c r="L8" s="21"/>
      <c r="M8" s="23" t="s">
        <v>41</v>
      </c>
      <c r="N8" s="15" t="s">
        <v>28</v>
      </c>
    </row>
    <row r="9" spans="1:14" s="33" customFormat="1" x14ac:dyDescent="0.25">
      <c r="A9" s="30" t="s">
        <v>45</v>
      </c>
      <c r="D9" s="34">
        <f>D8</f>
        <v>0</v>
      </c>
      <c r="E9" s="34">
        <f t="shared" ref="E9:K9" si="3">E8</f>
        <v>0</v>
      </c>
      <c r="F9" s="34">
        <f t="shared" si="3"/>
        <v>0</v>
      </c>
      <c r="G9" s="34">
        <f t="shared" si="3"/>
        <v>0</v>
      </c>
      <c r="H9" s="34">
        <f t="shared" si="3"/>
        <v>0</v>
      </c>
      <c r="I9" s="34">
        <f t="shared" si="3"/>
        <v>200000</v>
      </c>
      <c r="J9" s="34">
        <f t="shared" si="3"/>
        <v>0</v>
      </c>
      <c r="K9" s="34">
        <f t="shared" si="3"/>
        <v>0</v>
      </c>
    </row>
    <row r="10" spans="1:14" x14ac:dyDescent="0.25">
      <c r="A10" s="35" t="s">
        <v>47</v>
      </c>
      <c r="D10" s="7">
        <f>D3+D5+D7+D9</f>
        <v>50133.333333333336</v>
      </c>
      <c r="E10" s="7">
        <f t="shared" ref="E10:K10" si="4">E3+E5+E7+E9</f>
        <v>694181.66666666674</v>
      </c>
      <c r="F10" s="7">
        <f t="shared" si="4"/>
        <v>110000</v>
      </c>
      <c r="G10" s="7">
        <f t="shared" si="4"/>
        <v>503333.33333333331</v>
      </c>
      <c r="H10" s="7">
        <f t="shared" si="4"/>
        <v>336666.66666666669</v>
      </c>
      <c r="I10" s="7">
        <f>I3+I5+I7+I9</f>
        <v>297770</v>
      </c>
      <c r="J10" s="7">
        <f t="shared" si="4"/>
        <v>31250</v>
      </c>
      <c r="K10" s="7">
        <f t="shared" si="4"/>
        <v>1239050</v>
      </c>
    </row>
    <row r="12" spans="1:14" ht="18.75" x14ac:dyDescent="0.3">
      <c r="A12" s="43" t="s">
        <v>56</v>
      </c>
      <c r="E12" s="41">
        <f>'Turnover Estimate'!C40</f>
        <v>17002154.946218666</v>
      </c>
      <c r="F12" s="41"/>
      <c r="G12" s="41">
        <f>'Turnover Estimate'!C40</f>
        <v>17002154.946218666</v>
      </c>
      <c r="H12" s="41"/>
      <c r="I12" s="41"/>
      <c r="J12" s="41"/>
      <c r="K12" s="41">
        <f>'Turnover Estimate'!C40</f>
        <v>17002154.946218666</v>
      </c>
      <c r="L12" s="36"/>
      <c r="M12" s="36"/>
      <c r="N12" s="36"/>
    </row>
    <row r="13" spans="1:14" ht="18.75" x14ac:dyDescent="0.3">
      <c r="A13" s="43" t="s">
        <v>57</v>
      </c>
      <c r="E13" s="39">
        <f>E10/E12</f>
        <v>4.082904013417752E-2</v>
      </c>
      <c r="G13" s="39">
        <f>G10/G12</f>
        <v>2.9604090477088393E-2</v>
      </c>
      <c r="K13" s="39">
        <f>K10/K12</f>
        <v>7.2876056236363659E-2</v>
      </c>
    </row>
    <row r="14" spans="1:14" ht="18.75" x14ac:dyDescent="0.3">
      <c r="A14" s="43"/>
    </row>
    <row r="15" spans="1:14" ht="18.75" x14ac:dyDescent="0.3">
      <c r="A15" s="43" t="s">
        <v>58</v>
      </c>
      <c r="B15" s="7">
        <f>E10+G10+K10</f>
        <v>2436565</v>
      </c>
    </row>
    <row r="16" spans="1:14" ht="18.75" x14ac:dyDescent="0.3">
      <c r="A16" s="43" t="s">
        <v>59</v>
      </c>
      <c r="B16" s="42">
        <f>E12+G12+K12</f>
        <v>51006464.838655993</v>
      </c>
    </row>
    <row r="17" spans="1:2" ht="18.75" x14ac:dyDescent="0.3">
      <c r="A17" s="43" t="s">
        <v>60</v>
      </c>
      <c r="B17" s="39">
        <f>B15/B16</f>
        <v>4.7769728949209861E-2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A9BCC-8736-4CCE-AA9F-59B12C4DBF4B}"/>
</file>

<file path=customXml/itemProps2.xml><?xml version="1.0" encoding="utf-8"?>
<ds:datastoreItem xmlns:ds="http://schemas.openxmlformats.org/officeDocument/2006/customXml" ds:itemID="{E3268C3C-119D-4944-9355-E2285086012E}">
  <ds:schemaRefs>
    <ds:schemaRef ds:uri="http://schemas.microsoft.com/office/2006/metadata/properties"/>
    <ds:schemaRef ds:uri="http://schemas.microsoft.com/office/infopath/2007/PartnerControls"/>
    <ds:schemaRef ds:uri="99a61516-7467-430f-b592-0b54763d2015"/>
    <ds:schemaRef ds:uri="2d1bf25e-48db-4f65-ae68-8291fb17cf7d"/>
  </ds:schemaRefs>
</ds:datastoreItem>
</file>

<file path=customXml/itemProps3.xml><?xml version="1.0" encoding="utf-8"?>
<ds:datastoreItem xmlns:ds="http://schemas.openxmlformats.org/officeDocument/2006/customXml" ds:itemID="{0F6FFF77-7B1F-4E75-BB7B-BDBBF7A75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Subsidy</vt:lpstr>
      <vt:lpstr>Turnover Estimate</vt:lpstr>
      <vt:lpstr>POI Subsidy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2025-09-12T11:56:40Z</dcterms:created>
  <dcterms:modified xsi:type="dcterms:W3CDTF">2025-09-12T15:47:58Z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</Properties>
</file>