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h.sharepoint.com/sites/MTM/Marketing/-- MARKETING/Shared files/01 Business Intelligence/07 Trade regulation/UK/Antidumping UK plate/NC/"/>
    </mc:Choice>
  </mc:AlternateContent>
  <xr:revisionPtr revIDLastSave="85" documentId="8_{7386050E-6C40-443E-9AD9-A0F86FA0AA2C}" xr6:coauthVersionLast="47" xr6:coauthVersionMax="47" xr10:uidLastSave="{3FB1689C-2F94-47BE-AD5D-21BE263B0C3E}"/>
  <bookViews>
    <workbookView xWindow="-120" yWindow="-120" windowWidth="29040" windowHeight="15720" firstSheet="8" activeTab="8" xr2:uid="{6F3A9545-9168-4DC6-978C-D13544F85830}"/>
  </bookViews>
  <sheets>
    <sheet name="Budget 2024" sheetId="34" state="hidden" r:id="rId1"/>
    <sheet name="Payroll (H)" sheetId="30" state="hidden" r:id="rId2"/>
    <sheet name="P&amp;L Pivot (H)" sheetId="41" state="hidden" r:id="rId3"/>
    <sheet name="Input TB" sheetId="20" state="hidden" r:id="rId4"/>
    <sheet name="BS Pivot (H)" sheetId="43" state="hidden" r:id="rId5"/>
    <sheet name="TB (H)" sheetId="33" state="hidden" r:id="rId6"/>
    <sheet name="Intercompany Detail (H)" sheetId="39" state="hidden" r:id="rId7"/>
    <sheet name="Traded Detail (H)" sheetId="40" state="hidden" r:id="rId8"/>
    <sheet name="Cost per Tonne" sheetId="12" r:id="rId9"/>
    <sheet name="Spartan costs 2021-2024" sheetId="45" r:id="rId10"/>
    <sheet name="Cashflow" sheetId="10" state="hidden" r:id="rId11"/>
    <sheet name="Data" sheetId="16" state="hidden" r:id="rId12"/>
    <sheet name="Days" sheetId="28" state="hidden" r:id="rId13"/>
  </sheets>
  <definedNames>
    <definedName name="__FPMExcelClient_CellBasedFunctionStatus" localSheetId="3" hidden="1">"2_2_2_2_2_2"</definedName>
    <definedName name="_xlnm._FilterDatabase" localSheetId="3" hidden="1">'Input TB'!$A$1:$R$208</definedName>
    <definedName name="_xlnm._FilterDatabase" localSheetId="5" hidden="1">'TB (H)'!$A$1:$S$1</definedName>
    <definedName name="_SEM1" localSheetId="0">#REF!</definedName>
    <definedName name="_SEM1" localSheetId="10">#REF!</definedName>
    <definedName name="_SEM1" localSheetId="8">#REF!</definedName>
    <definedName name="_SEM1" localSheetId="3">#REF!</definedName>
    <definedName name="_SEM1">#REF!</definedName>
    <definedName name="_SEM2" localSheetId="0">#REF!</definedName>
    <definedName name="_SEM2" localSheetId="10">#REF!</definedName>
    <definedName name="_SEM2" localSheetId="8">#REF!</definedName>
    <definedName name="_SEM2" localSheetId="3">#REF!</definedName>
    <definedName name="_SEM2">#REF!</definedName>
    <definedName name="AGO" localSheetId="0">#REF!</definedName>
    <definedName name="AGO" localSheetId="10">#REF!</definedName>
    <definedName name="AGO" localSheetId="8">'Cost per Tonne'!#REF!</definedName>
    <definedName name="AGO" localSheetId="3">#REF!</definedName>
    <definedName name="AGO">#REF!</definedName>
    <definedName name="ANNO" localSheetId="0">#REF!</definedName>
    <definedName name="ANNO" localSheetId="10">#REF!</definedName>
    <definedName name="ANNO" localSheetId="8">#REF!</definedName>
    <definedName name="ANNO" localSheetId="3">#REF!</definedName>
    <definedName name="ANNO">#REF!</definedName>
    <definedName name="APR" localSheetId="0">#REF!</definedName>
    <definedName name="APR" localSheetId="10">#REF!</definedName>
    <definedName name="APR" localSheetId="8">'Cost per Tonne'!#REF!</definedName>
    <definedName name="APR" localSheetId="3">#REF!</definedName>
    <definedName name="APR">#REF!</definedName>
    <definedName name="BUDGET_2004">"PERTON"</definedName>
    <definedName name="BUDGET_2004_POSIZIONE_FINANZIARIA" localSheetId="0">#REF!</definedName>
    <definedName name="BUDGET_2004_POSIZIONE_FINANZIARIA" localSheetId="10">#REF!</definedName>
    <definedName name="BUDGET_2004_POSIZIONE_FINANZIARIA" localSheetId="8">#REF!</definedName>
    <definedName name="BUDGET_2004_POSIZIONE_FINANZIARIA" localSheetId="3">#REF!</definedName>
    <definedName name="BUDGET_2004_POSIZIONE_FINANZIARIA">#REF!</definedName>
    <definedName name="CEANNO" localSheetId="0">#REF!</definedName>
    <definedName name="CEANNO" localSheetId="10">#REF!</definedName>
    <definedName name="CEANNO" localSheetId="8">'Cost per Tonne'!#REF!</definedName>
    <definedName name="CEANNO" localSheetId="3">#REF!</definedName>
    <definedName name="CEANNO">#REF!</definedName>
    <definedName name="CEORIGINE" localSheetId="8">'Cost per Tonne'!$A$1:$D$52</definedName>
    <definedName name="CEORIGINE">#REF!</definedName>
    <definedName name="CEVALAGG" localSheetId="8">'Cost per Tonne'!$A$1:$D$52</definedName>
    <definedName name="CEVALAGG">#REF!</definedName>
    <definedName name="Date" localSheetId="0">#REF!</definedName>
    <definedName name="Date" localSheetId="3">'Input TB'!$G$2:$R$2</definedName>
    <definedName name="Date">#REF!</definedName>
    <definedName name="DIC" localSheetId="0">#REF!</definedName>
    <definedName name="DIC" localSheetId="10">#REF!</definedName>
    <definedName name="DIC" localSheetId="8">'Cost per Tonne'!#REF!</definedName>
    <definedName name="DIC" localSheetId="3">#REF!</definedName>
    <definedName name="DIC">#REF!</definedName>
    <definedName name="euro" localSheetId="0">#REF!</definedName>
    <definedName name="euro" localSheetId="10">#REF!</definedName>
    <definedName name="euro" localSheetId="8">'Cost per Tonne'!#REF!</definedName>
    <definedName name="euro" localSheetId="3">#REF!</definedName>
    <definedName name="euro">#REF!</definedName>
    <definedName name="FCANNO" localSheetId="0">#REF!</definedName>
    <definedName name="FCANNO" localSheetId="10">#REF!</definedName>
    <definedName name="FCANNO" localSheetId="8">#REF!</definedName>
    <definedName name="FCANNO" localSheetId="3">#REF!</definedName>
    <definedName name="FCANNO">#REF!</definedName>
    <definedName name="FEB" localSheetId="0">#REF!</definedName>
    <definedName name="FEB" localSheetId="10">#REF!</definedName>
    <definedName name="FEB" localSheetId="8">'Cost per Tonne'!#REF!</definedName>
    <definedName name="FEB" localSheetId="3">#REF!</definedName>
    <definedName name="FEB">#REF!</definedName>
    <definedName name="FF" localSheetId="0">#REF!</definedName>
    <definedName name="FF" localSheetId="10">#REF!</definedName>
    <definedName name="FF" localSheetId="8">#REF!</definedName>
    <definedName name="FF" localSheetId="3">#REF!</definedName>
    <definedName name="FF">#REF!</definedName>
    <definedName name="FG" localSheetId="0">#REF!</definedName>
    <definedName name="FG" localSheetId="10">#REF!</definedName>
    <definedName name="FG" localSheetId="8">#REF!</definedName>
    <definedName name="FG" localSheetId="3">#REF!</definedName>
    <definedName name="FG">#REF!</definedName>
    <definedName name="GEN" localSheetId="8">'Cost per Tonne'!#REF!</definedName>
    <definedName name="GEN">#REF!</definedName>
    <definedName name="GIU" localSheetId="0">#REF!</definedName>
    <definedName name="GIU" localSheetId="10">#REF!</definedName>
    <definedName name="GIU" localSheetId="8">'Cost per Tonne'!#REF!</definedName>
    <definedName name="GIU" localSheetId="3">#REF!</definedName>
    <definedName name="GIU">#REF!</definedName>
    <definedName name="LUG" localSheetId="0">#REF!</definedName>
    <definedName name="LUG" localSheetId="10">#REF!</definedName>
    <definedName name="LUG" localSheetId="8">'Cost per Tonne'!#REF!</definedName>
    <definedName name="LUG" localSheetId="3">#REF!</definedName>
    <definedName name="LUG">#REF!</definedName>
    <definedName name="MAG" localSheetId="0">#REF!</definedName>
    <definedName name="MAG" localSheetId="10">#REF!</definedName>
    <definedName name="MAG" localSheetId="8">'Cost per Tonne'!#REF!</definedName>
    <definedName name="MAG" localSheetId="3">#REF!</definedName>
    <definedName name="MAG">#REF!</definedName>
    <definedName name="MAGO" localSheetId="0">#REF!</definedName>
    <definedName name="MAGO" localSheetId="10">#REF!</definedName>
    <definedName name="MAGO" localSheetId="8">#REF!</definedName>
    <definedName name="MAGO" localSheetId="3">#REF!</definedName>
    <definedName name="MAGO">#REF!</definedName>
    <definedName name="MAPR" localSheetId="0">#REF!</definedName>
    <definedName name="MAPR" localSheetId="10">#REF!</definedName>
    <definedName name="MAPR" localSheetId="8">#REF!</definedName>
    <definedName name="MAPR" localSheetId="3">#REF!</definedName>
    <definedName name="MAPR">#REF!</definedName>
    <definedName name="MAR" localSheetId="0">#REF!</definedName>
    <definedName name="MAR" localSheetId="10">#REF!</definedName>
    <definedName name="MAR" localSheetId="8">'Cost per Tonne'!#REF!</definedName>
    <definedName name="MAR" localSheetId="3">#REF!</definedName>
    <definedName name="MAR">#REF!</definedName>
    <definedName name="MDIC" localSheetId="0">#REF!</definedName>
    <definedName name="MDIC" localSheetId="10">#REF!</definedName>
    <definedName name="MDIC" localSheetId="8">#REF!</definedName>
    <definedName name="MDIC" localSheetId="3">#REF!</definedName>
    <definedName name="MDIC">#REF!</definedName>
    <definedName name="MFEB" localSheetId="0">#REF!</definedName>
    <definedName name="MFEB" localSheetId="10">#REF!</definedName>
    <definedName name="MFEB" localSheetId="8">#REF!</definedName>
    <definedName name="MFEB" localSheetId="3">#REF!</definedName>
    <definedName name="MFEB">#REF!</definedName>
    <definedName name="MGEN" localSheetId="0">#REF!</definedName>
    <definedName name="MGEN" localSheetId="10">#REF!</definedName>
    <definedName name="MGEN" localSheetId="8">#REF!</definedName>
    <definedName name="MGEN" localSheetId="3">#REF!</definedName>
    <definedName name="MGEN">#REF!</definedName>
    <definedName name="MGIU" localSheetId="0">#REF!</definedName>
    <definedName name="MGIU" localSheetId="10">#REF!</definedName>
    <definedName name="MGIU" localSheetId="8">#REF!</definedName>
    <definedName name="MGIU" localSheetId="3">#REF!</definedName>
    <definedName name="MGIU">#REF!</definedName>
    <definedName name="MLUG" localSheetId="0">#REF!</definedName>
    <definedName name="MLUG" localSheetId="10">#REF!</definedName>
    <definedName name="MLUG" localSheetId="8">#REF!</definedName>
    <definedName name="MLUG" localSheetId="3">#REF!</definedName>
    <definedName name="MLUG">#REF!</definedName>
    <definedName name="MMAG" localSheetId="0">#REF!</definedName>
    <definedName name="MMAG" localSheetId="10">#REF!</definedName>
    <definedName name="MMAG" localSheetId="8">#REF!</definedName>
    <definedName name="MMAG" localSheetId="3">#REF!</definedName>
    <definedName name="MMAG">#REF!</definedName>
    <definedName name="MMAR" localSheetId="0">#REF!</definedName>
    <definedName name="MMAR" localSheetId="10">#REF!</definedName>
    <definedName name="MMAR" localSheetId="8">#REF!</definedName>
    <definedName name="MMAR" localSheetId="3">#REF!</definedName>
    <definedName name="MMAR">#REF!</definedName>
    <definedName name="MNOV" localSheetId="0">#REF!</definedName>
    <definedName name="MNOV" localSheetId="10">#REF!</definedName>
    <definedName name="MNOV" localSheetId="8">#REF!</definedName>
    <definedName name="MNOV" localSheetId="3">#REF!</definedName>
    <definedName name="MNOV">#REF!</definedName>
    <definedName name="MOTT" localSheetId="0">#REF!</definedName>
    <definedName name="MOTT" localSheetId="10">#REF!</definedName>
    <definedName name="MOTT" localSheetId="8">#REF!</definedName>
    <definedName name="MOTT" localSheetId="3">#REF!</definedName>
    <definedName name="MOTT">#REF!</definedName>
    <definedName name="MSET" localSheetId="0">#REF!</definedName>
    <definedName name="MSET" localSheetId="10">#REF!</definedName>
    <definedName name="MSET" localSheetId="8">#REF!</definedName>
    <definedName name="MSET" localSheetId="3">#REF!</definedName>
    <definedName name="MSET">#REF!</definedName>
    <definedName name="NOV" localSheetId="0">#REF!</definedName>
    <definedName name="NOV" localSheetId="10">#REF!</definedName>
    <definedName name="NOV" localSheetId="8">'Cost per Tonne'!#REF!</definedName>
    <definedName name="NOV" localSheetId="3">#REF!</definedName>
    <definedName name="NOV">#REF!</definedName>
    <definedName name="ONAGO" localSheetId="0">#REF!</definedName>
    <definedName name="ONAGO" localSheetId="10">#REF!</definedName>
    <definedName name="ONAGO" localSheetId="8">#REF!</definedName>
    <definedName name="ONAGO" localSheetId="3">#REF!</definedName>
    <definedName name="ONAGO">#REF!</definedName>
    <definedName name="ONANNO" localSheetId="0">#REF!</definedName>
    <definedName name="ONANNO" localSheetId="10">#REF!</definedName>
    <definedName name="ONANNO" localSheetId="8">#REF!</definedName>
    <definedName name="ONANNO" localSheetId="3">#REF!</definedName>
    <definedName name="ONANNO">#REF!</definedName>
    <definedName name="ONAPR" localSheetId="0">#REF!</definedName>
    <definedName name="ONAPR" localSheetId="10">#REF!</definedName>
    <definedName name="ONAPR" localSheetId="8">#REF!</definedName>
    <definedName name="ONAPR" localSheetId="3">#REF!</definedName>
    <definedName name="ONAPR">#REF!</definedName>
    <definedName name="ONDIC" localSheetId="0">#REF!</definedName>
    <definedName name="ONDIC" localSheetId="10">#REF!</definedName>
    <definedName name="ONDIC" localSheetId="8">#REF!</definedName>
    <definedName name="ONDIC" localSheetId="3">#REF!</definedName>
    <definedName name="ONDIC">#REF!</definedName>
    <definedName name="ONERI" localSheetId="0">#REF!</definedName>
    <definedName name="ONERI" localSheetId="10">#REF!</definedName>
    <definedName name="ONERI" localSheetId="8">#REF!</definedName>
    <definedName name="ONERI" localSheetId="3">#REF!</definedName>
    <definedName name="ONERI">#REF!</definedName>
    <definedName name="ONFEB" localSheetId="0">#REF!</definedName>
    <definedName name="ONFEB" localSheetId="10">#REF!</definedName>
    <definedName name="ONFEB" localSheetId="8">#REF!</definedName>
    <definedName name="ONFEB" localSheetId="3">#REF!</definedName>
    <definedName name="ONFEB">#REF!</definedName>
    <definedName name="ONGEN" localSheetId="0">#REF!</definedName>
    <definedName name="ONGEN" localSheetId="10">#REF!</definedName>
    <definedName name="ONGEN" localSheetId="8">#REF!</definedName>
    <definedName name="ONGEN" localSheetId="3">#REF!</definedName>
    <definedName name="ONGEN">#REF!</definedName>
    <definedName name="ONGIU" localSheetId="0">#REF!</definedName>
    <definedName name="ONGIU" localSheetId="10">#REF!</definedName>
    <definedName name="ONGIU" localSheetId="8">#REF!</definedName>
    <definedName name="ONGIU" localSheetId="3">#REF!</definedName>
    <definedName name="ONGIU">#REF!</definedName>
    <definedName name="ONLUG" localSheetId="0">#REF!</definedName>
    <definedName name="ONLUG" localSheetId="10">#REF!</definedName>
    <definedName name="ONLUG" localSheetId="8">#REF!</definedName>
    <definedName name="ONLUG" localSheetId="3">#REF!</definedName>
    <definedName name="ONLUG">#REF!</definedName>
    <definedName name="ONMAG" localSheetId="0">#REF!</definedName>
    <definedName name="ONMAG" localSheetId="10">#REF!</definedName>
    <definedName name="ONMAG" localSheetId="8">#REF!</definedName>
    <definedName name="ONMAG" localSheetId="3">#REF!</definedName>
    <definedName name="ONMAG">#REF!</definedName>
    <definedName name="ONMAR" localSheetId="0">#REF!</definedName>
    <definedName name="ONMAR" localSheetId="10">#REF!</definedName>
    <definedName name="ONMAR" localSheetId="8">#REF!</definedName>
    <definedName name="ONMAR" localSheetId="3">#REF!</definedName>
    <definedName name="ONMAR">#REF!</definedName>
    <definedName name="ONNOV" localSheetId="0">#REF!</definedName>
    <definedName name="ONNOV" localSheetId="10">#REF!</definedName>
    <definedName name="ONNOV" localSheetId="8">#REF!</definedName>
    <definedName name="ONNOV" localSheetId="3">#REF!</definedName>
    <definedName name="ONNOV">#REF!</definedName>
    <definedName name="ONOTT" localSheetId="0">#REF!</definedName>
    <definedName name="ONOTT" localSheetId="10">#REF!</definedName>
    <definedName name="ONOTT" localSheetId="8">#REF!</definedName>
    <definedName name="ONOTT" localSheetId="3">#REF!</definedName>
    <definedName name="ONOTT">#REF!</definedName>
    <definedName name="ONSET" localSheetId="0">#REF!</definedName>
    <definedName name="ONSET" localSheetId="10">#REF!</definedName>
    <definedName name="ONSET" localSheetId="8">#REF!</definedName>
    <definedName name="ONSET" localSheetId="3">#REF!</definedName>
    <definedName name="ONSET">#REF!</definedName>
    <definedName name="OTT" localSheetId="0">#REF!</definedName>
    <definedName name="OTT" localSheetId="10">#REF!</definedName>
    <definedName name="OTT" localSheetId="8">'Cost per Tonne'!#REF!</definedName>
    <definedName name="OTT" localSheetId="3">#REF!</definedName>
    <definedName name="OTT">#REF!</definedName>
    <definedName name="PAGO" localSheetId="0">#REF!</definedName>
    <definedName name="PAGO" localSheetId="10">#REF!</definedName>
    <definedName name="PAGO" localSheetId="8">#REF!</definedName>
    <definedName name="PAGO" localSheetId="3">#REF!</definedName>
    <definedName name="PAGO">#REF!</definedName>
    <definedName name="PAPR" localSheetId="0">#REF!</definedName>
    <definedName name="PAPR" localSheetId="10">#REF!</definedName>
    <definedName name="PAPR" localSheetId="8">#REF!</definedName>
    <definedName name="PAPR" localSheetId="3">#REF!</definedName>
    <definedName name="PAPR">#REF!</definedName>
    <definedName name="PDIC" localSheetId="0">#REF!</definedName>
    <definedName name="PDIC" localSheetId="10">#REF!</definedName>
    <definedName name="PDIC" localSheetId="8">#REF!</definedName>
    <definedName name="PDIC" localSheetId="3">#REF!</definedName>
    <definedName name="PDIC">#REF!</definedName>
    <definedName name="PFEB" localSheetId="0">#REF!</definedName>
    <definedName name="PFEB" localSheetId="10">#REF!</definedName>
    <definedName name="PFEB" localSheetId="8">#REF!</definedName>
    <definedName name="PFEB" localSheetId="3">#REF!</definedName>
    <definedName name="PFEB">#REF!</definedName>
    <definedName name="PGEN" localSheetId="0">#REF!</definedName>
    <definedName name="PGEN" localSheetId="10">#REF!</definedName>
    <definedName name="PGEN" localSheetId="8">#REF!</definedName>
    <definedName name="PGEN" localSheetId="3">#REF!</definedName>
    <definedName name="PGEN">#REF!</definedName>
    <definedName name="PGIU" localSheetId="0">#REF!</definedName>
    <definedName name="PGIU" localSheetId="10">#REF!</definedName>
    <definedName name="PGIU" localSheetId="8">#REF!</definedName>
    <definedName name="PGIU" localSheetId="3">#REF!</definedName>
    <definedName name="PGIU">#REF!</definedName>
    <definedName name="PLUG" localSheetId="0">#REF!</definedName>
    <definedName name="PLUG" localSheetId="10">#REF!</definedName>
    <definedName name="PLUG" localSheetId="8">#REF!</definedName>
    <definedName name="PLUG" localSheetId="3">#REF!</definedName>
    <definedName name="PLUG">#REF!</definedName>
    <definedName name="PMAG" localSheetId="0">#REF!</definedName>
    <definedName name="PMAG" localSheetId="10">#REF!</definedName>
    <definedName name="PMAG" localSheetId="8">#REF!</definedName>
    <definedName name="PMAG" localSheetId="3">#REF!</definedName>
    <definedName name="PMAG">#REF!</definedName>
    <definedName name="PMAR" localSheetId="0">#REF!</definedName>
    <definedName name="PMAR" localSheetId="10">#REF!</definedName>
    <definedName name="PMAR" localSheetId="8">#REF!</definedName>
    <definedName name="PMAR" localSheetId="3">#REF!</definedName>
    <definedName name="PMAR">#REF!</definedName>
    <definedName name="PNOV" localSheetId="0">#REF!</definedName>
    <definedName name="PNOV" localSheetId="10">#REF!</definedName>
    <definedName name="PNOV" localSheetId="8">#REF!</definedName>
    <definedName name="PNOV" localSheetId="3">#REF!</definedName>
    <definedName name="PNOV">#REF!</definedName>
    <definedName name="POS" localSheetId="0">#REF!</definedName>
    <definedName name="POS" localSheetId="10">#REF!</definedName>
    <definedName name="POS" localSheetId="8">#REF!</definedName>
    <definedName name="POS" localSheetId="3">#REF!</definedName>
    <definedName name="POS">#REF!</definedName>
    <definedName name="POSDIC" localSheetId="0">#REF!</definedName>
    <definedName name="POSDIC" localSheetId="10">#REF!</definedName>
    <definedName name="POSDIC" localSheetId="8">#REF!</definedName>
    <definedName name="POSDIC" localSheetId="3">#REF!</definedName>
    <definedName name="POSDIC">#REF!</definedName>
    <definedName name="POSPREC" localSheetId="0">#REF!</definedName>
    <definedName name="POSPREC" localSheetId="10">#REF!</definedName>
    <definedName name="POSPREC" localSheetId="8">#REF!</definedName>
    <definedName name="POSPREC" localSheetId="3">#REF!</definedName>
    <definedName name="POSPREC">#REF!</definedName>
    <definedName name="POTT" localSheetId="0">#REF!</definedName>
    <definedName name="POTT" localSheetId="10">#REF!</definedName>
    <definedName name="POTT" localSheetId="8">#REF!</definedName>
    <definedName name="POTT" localSheetId="3">#REF!</definedName>
    <definedName name="POTT">#REF!</definedName>
    <definedName name="PRECSP" localSheetId="0">#REF!</definedName>
    <definedName name="PRECSP" localSheetId="10">#REF!</definedName>
    <definedName name="PRECSP" localSheetId="8">#REF!</definedName>
    <definedName name="PRECSP" localSheetId="3">#REF!</definedName>
    <definedName name="PRECSP">#REF!</definedName>
    <definedName name="prg" localSheetId="0">#REF!</definedName>
    <definedName name="prg" localSheetId="10">#REF!</definedName>
    <definedName name="prg" localSheetId="8">#REF!</definedName>
    <definedName name="prg" localSheetId="3">#REF!</definedName>
    <definedName name="prg">#REF!</definedName>
    <definedName name="_xlnm.Print_Area" localSheetId="10">Cashflow!$A$1:$O$55</definedName>
    <definedName name="_xlnm.Print_Area" localSheetId="8">'Cost per Tonne'!$A$1:$D$55</definedName>
    <definedName name="_xlnm.Print_Area" localSheetId="3">'Input TB'!$E$3:$F$211</definedName>
    <definedName name="_xlnm.Print_Titles" localSheetId="8">'Cost per Tonne'!$A:$D</definedName>
    <definedName name="_xlnm.Print_Titles" localSheetId="3">'Input TB'!$2:$2</definedName>
    <definedName name="PSET" localSheetId="0">#REF!</definedName>
    <definedName name="PSET" localSheetId="10">#REF!</definedName>
    <definedName name="PSET" localSheetId="8">#REF!</definedName>
    <definedName name="PSET" localSheetId="3">#REF!</definedName>
    <definedName name="PSET">#REF!</definedName>
    <definedName name="RIEP" localSheetId="0">#REF!</definedName>
    <definedName name="RIEP" localSheetId="10">#REF!</definedName>
    <definedName name="RIEP" localSheetId="8">#REF!</definedName>
    <definedName name="RIEP" localSheetId="3">#REF!</definedName>
    <definedName name="RIEP">#REF!</definedName>
    <definedName name="RIEPONERI" localSheetId="0">#REF!</definedName>
    <definedName name="RIEPONERI" localSheetId="10">#REF!</definedName>
    <definedName name="RIEPONERI" localSheetId="8">#REF!</definedName>
    <definedName name="RIEPONERI" localSheetId="3">#REF!</definedName>
    <definedName name="RIEPONERI">#REF!</definedName>
    <definedName name="SET" localSheetId="0">#REF!</definedName>
    <definedName name="SET" localSheetId="10">#REF!</definedName>
    <definedName name="SET" localSheetId="8">'Cost per Tonne'!#REF!</definedName>
    <definedName name="SET" localSheetId="3">#REF!</definedName>
    <definedName name="SET">#REF!</definedName>
    <definedName name="SOCIETA">#REF!</definedName>
    <definedName name="SP" localSheetId="0">#REF!</definedName>
    <definedName name="SP" localSheetId="10">#REF!</definedName>
    <definedName name="SP" localSheetId="8">#REF!</definedName>
    <definedName name="SP" localSheetId="3">#REF!</definedName>
    <definedName name="SP">#REF!</definedName>
    <definedName name="SPAGO" localSheetId="0">#REF!</definedName>
    <definedName name="SPAGO" localSheetId="10">#REF!</definedName>
    <definedName name="SPAGO" localSheetId="8">#REF!</definedName>
    <definedName name="SPAGO" localSheetId="3">#REF!</definedName>
    <definedName name="SPAGO">#REF!</definedName>
    <definedName name="SPAPR" localSheetId="0">#REF!</definedName>
    <definedName name="SPAPR" localSheetId="10">#REF!</definedName>
    <definedName name="SPAPR" localSheetId="8">#REF!</definedName>
    <definedName name="SPAPR" localSheetId="3">#REF!</definedName>
    <definedName name="SPAPR">#REF!</definedName>
    <definedName name="SPDIC" localSheetId="0">#REF!</definedName>
    <definedName name="SPDIC" localSheetId="10">#REF!</definedName>
    <definedName name="SPDIC" localSheetId="8">#REF!</definedName>
    <definedName name="SPDIC" localSheetId="3">#REF!</definedName>
    <definedName name="SPDIC">#REF!</definedName>
    <definedName name="SPDICGR" localSheetId="0">#REF!</definedName>
    <definedName name="SPDICGR" localSheetId="10">#REF!</definedName>
    <definedName name="SPDICGR" localSheetId="8">#REF!</definedName>
    <definedName name="SPDICGR" localSheetId="3">#REF!</definedName>
    <definedName name="SPDICGR">#REF!</definedName>
    <definedName name="SPFEB" localSheetId="0">#REF!</definedName>
    <definedName name="SPFEB" localSheetId="10">#REF!</definedName>
    <definedName name="SPFEB" localSheetId="8">#REF!</definedName>
    <definedName name="SPFEB" localSheetId="3">#REF!</definedName>
    <definedName name="SPFEB">#REF!</definedName>
    <definedName name="SPGEN" localSheetId="0">#REF!</definedName>
    <definedName name="SPGEN" localSheetId="10">#REF!</definedName>
    <definedName name="SPGEN" localSheetId="8">#REF!</definedName>
    <definedName name="SPGEN" localSheetId="3">#REF!</definedName>
    <definedName name="SPGEN">#REF!</definedName>
    <definedName name="SPGIU" localSheetId="0">#REF!</definedName>
    <definedName name="SPGIU" localSheetId="10">#REF!</definedName>
    <definedName name="SPGIU" localSheetId="8">#REF!</definedName>
    <definedName name="SPGIU" localSheetId="3">#REF!</definedName>
    <definedName name="SPGIU">#REF!</definedName>
    <definedName name="SPLUG" localSheetId="0">#REF!</definedName>
    <definedName name="SPLUG" localSheetId="10">#REF!</definedName>
    <definedName name="SPLUG" localSheetId="8">#REF!</definedName>
    <definedName name="SPLUG" localSheetId="3">#REF!</definedName>
    <definedName name="SPLUG">#REF!</definedName>
    <definedName name="SPMAG" localSheetId="0">#REF!</definedName>
    <definedName name="SPMAG" localSheetId="10">#REF!</definedName>
    <definedName name="SPMAG" localSheetId="8">#REF!</definedName>
    <definedName name="SPMAG" localSheetId="3">#REF!</definedName>
    <definedName name="SPMAG">#REF!</definedName>
    <definedName name="SPMAR" localSheetId="0">#REF!</definedName>
    <definedName name="SPMAR" localSheetId="10">#REF!</definedName>
    <definedName name="SPMAR" localSheetId="8">#REF!</definedName>
    <definedName name="SPMAR" localSheetId="3">#REF!</definedName>
    <definedName name="SPMAR">#REF!</definedName>
    <definedName name="SPNOV" localSheetId="0">#REF!</definedName>
    <definedName name="SPNOV" localSheetId="10">#REF!</definedName>
    <definedName name="SPNOV" localSheetId="8">#REF!</definedName>
    <definedName name="SPNOV" localSheetId="3">#REF!</definedName>
    <definedName name="SPNOV">#REF!</definedName>
    <definedName name="SPOTT" localSheetId="0">#REF!</definedName>
    <definedName name="SPOTT" localSheetId="10">#REF!</definedName>
    <definedName name="SPOTT" localSheetId="8">#REF!</definedName>
    <definedName name="SPOTT" localSheetId="3">#REF!</definedName>
    <definedName name="SPOTT">#REF!</definedName>
    <definedName name="SPPREC" localSheetId="0">#REF!</definedName>
    <definedName name="SPPREC" localSheetId="10">#REF!</definedName>
    <definedName name="SPPREC" localSheetId="8">#REF!</definedName>
    <definedName name="SPPREC" localSheetId="3">#REF!</definedName>
    <definedName name="SPPREC">#REF!</definedName>
    <definedName name="SPSET" localSheetId="0">#REF!</definedName>
    <definedName name="SPSET" localSheetId="10">#REF!</definedName>
    <definedName name="SPSET" localSheetId="8">#REF!</definedName>
    <definedName name="SPSET" localSheetId="3">#REF!</definedName>
    <definedName name="SPSET">#REF!</definedName>
    <definedName name="STRUTTURA" localSheetId="0">#REF!</definedName>
    <definedName name="STRUTTURA" localSheetId="10">#REF!</definedName>
    <definedName name="STRUTTURA" localSheetId="8">#REF!</definedName>
    <definedName name="STRUTTURA" localSheetId="3">#REF!</definedName>
    <definedName name="STRUTTURA">#REF!</definedName>
  </definedNames>
  <calcPr calcId="191029"/>
  <pivotCaches>
    <pivotCache cacheId="0" r:id="rId14"/>
    <pivotCache cacheId="1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" i="33" l="1"/>
  <c r="E61" i="30" l="1"/>
  <c r="T42" i="20" l="1"/>
  <c r="N293" i="33"/>
  <c r="R221" i="20" l="1"/>
  <c r="R224" i="20" s="1"/>
  <c r="R237" i="20"/>
  <c r="R240" i="20" s="1"/>
  <c r="O61" i="30" l="1"/>
  <c r="P61" i="30"/>
  <c r="Q61" i="30"/>
  <c r="M61" i="30"/>
  <c r="L61" i="30"/>
  <c r="I61" i="30"/>
  <c r="H61" i="30"/>
  <c r="O130" i="33" l="1"/>
  <c r="O131" i="33"/>
  <c r="O132" i="33"/>
  <c r="O133" i="33"/>
  <c r="O134" i="33"/>
  <c r="O135" i="33"/>
  <c r="O136" i="33"/>
  <c r="O137" i="33"/>
  <c r="O138" i="33"/>
  <c r="O139" i="33"/>
  <c r="O140" i="33"/>
  <c r="O141" i="33"/>
  <c r="O142" i="33"/>
  <c r="O143" i="33"/>
  <c r="O144" i="33"/>
  <c r="O145" i="33"/>
  <c r="O146" i="33"/>
  <c r="O147" i="33"/>
  <c r="O148" i="33"/>
  <c r="O149" i="33"/>
  <c r="O151" i="33"/>
  <c r="O156" i="33"/>
  <c r="O157" i="33"/>
  <c r="O158" i="33"/>
  <c r="O159" i="33"/>
  <c r="O160" i="33"/>
  <c r="O161" i="33"/>
  <c r="R158" i="33"/>
  <c r="R159" i="33"/>
  <c r="R160" i="33"/>
  <c r="O174" i="33"/>
  <c r="R161" i="33"/>
  <c r="O180" i="33" l="1"/>
  <c r="P151" i="33"/>
  <c r="P60" i="30" l="1"/>
  <c r="O60" i="30"/>
  <c r="Q60" i="30"/>
  <c r="P59" i="30"/>
  <c r="Q59" i="30"/>
  <c r="R59" i="30"/>
  <c r="R60" i="30" l="1"/>
  <c r="M292" i="33" l="1"/>
  <c r="M293" i="33" l="1"/>
  <c r="N294" i="33" s="1"/>
  <c r="R214" i="20" l="1"/>
  <c r="P221" i="20" l="1"/>
  <c r="P224" i="20" s="1"/>
  <c r="O152" i="33"/>
  <c r="O154" i="33"/>
  <c r="O155" i="33"/>
  <c r="R162" i="33"/>
  <c r="P180" i="33"/>
  <c r="L292" i="33" l="1"/>
  <c r="N9" i="39"/>
  <c r="N6" i="39"/>
  <c r="M9" i="39" l="1"/>
  <c r="L26" i="40" l="1"/>
  <c r="T181" i="20" l="1"/>
  <c r="T182" i="20"/>
  <c r="L293" i="33" l="1"/>
  <c r="M294" i="33" s="1"/>
  <c r="K292" i="33" l="1"/>
  <c r="R165" i="33"/>
  <c r="M26" i="40" l="1"/>
  <c r="D58" i="30"/>
  <c r="Q58" i="30"/>
  <c r="P58" i="30"/>
  <c r="R58" i="30" s="1"/>
  <c r="O221" i="20" l="1"/>
  <c r="K293" i="33"/>
  <c r="L294" i="33" s="1"/>
  <c r="N221" i="20" l="1"/>
  <c r="J292" i="33" l="1"/>
  <c r="J293" i="33" l="1"/>
  <c r="K294" i="33" s="1"/>
  <c r="M235" i="20" l="1"/>
  <c r="M221" i="20"/>
  <c r="T90" i="20" l="1"/>
  <c r="T124" i="20"/>
  <c r="T125" i="20"/>
  <c r="O56" i="30" l="1"/>
  <c r="P56" i="30"/>
  <c r="Q56" i="30"/>
  <c r="N56" i="30"/>
  <c r="J56" i="30"/>
  <c r="E56" i="30"/>
  <c r="D56" i="30"/>
  <c r="F56" i="30" s="1"/>
  <c r="S283" i="33" l="1"/>
  <c r="E292" i="33" l="1"/>
  <c r="E293" i="33"/>
  <c r="C292" i="33"/>
  <c r="C293" i="33" s="1"/>
  <c r="D292" i="33"/>
  <c r="D293" i="33" s="1"/>
  <c r="F292" i="33"/>
  <c r="F293" i="33" s="1"/>
  <c r="G292" i="33"/>
  <c r="G293" i="33" s="1"/>
  <c r="H292" i="33"/>
  <c r="H293" i="33" s="1"/>
  <c r="I292" i="33"/>
  <c r="J2" i="39"/>
  <c r="J9" i="39"/>
  <c r="I293" i="33" l="1"/>
  <c r="J294" i="33" s="1"/>
  <c r="H294" i="33"/>
  <c r="F294" i="33"/>
  <c r="D294" i="33"/>
  <c r="G294" i="33"/>
  <c r="E294" i="33"/>
  <c r="I294" i="33" l="1"/>
  <c r="L221" i="20" l="1"/>
  <c r="L224" i="20" s="1"/>
  <c r="D55" i="30"/>
  <c r="Q55" i="30" l="1"/>
  <c r="O55" i="30"/>
  <c r="N55" i="30"/>
  <c r="J55" i="30"/>
  <c r="R55" i="30" s="1"/>
  <c r="I55" i="30"/>
  <c r="H55" i="30"/>
  <c r="P55" i="30" s="1"/>
  <c r="F55" i="30"/>
  <c r="L54" i="30" l="1"/>
  <c r="M54" i="30"/>
  <c r="H54" i="30"/>
  <c r="I54" i="30"/>
  <c r="D54" i="30"/>
  <c r="E54" i="30"/>
  <c r="I9" i="39" l="1"/>
  <c r="E9" i="39"/>
  <c r="F9" i="39"/>
  <c r="G9" i="39"/>
  <c r="H9" i="39"/>
  <c r="E10" i="39"/>
  <c r="F10" i="39"/>
  <c r="F11" i="39" s="1"/>
  <c r="G10" i="39"/>
  <c r="G11" i="39" s="1"/>
  <c r="H10" i="39"/>
  <c r="E11" i="39"/>
  <c r="H11" i="39" l="1"/>
  <c r="Q54" i="30" l="1"/>
  <c r="P54" i="30"/>
  <c r="K221" i="20" l="1"/>
  <c r="F24" i="39" l="1"/>
  <c r="G22" i="40" l="1"/>
  <c r="G16" i="40" l="1"/>
  <c r="T92" i="20" l="1"/>
  <c r="I221" i="20" l="1"/>
  <c r="I224" i="20" s="1"/>
  <c r="H221" i="20" l="1"/>
  <c r="H224" i="20" s="1"/>
  <c r="H222" i="20" l="1"/>
  <c r="H244" i="20" s="1"/>
  <c r="T10" i="20" l="1"/>
  <c r="T11" i="20"/>
  <c r="T13" i="20"/>
  <c r="T14" i="20"/>
  <c r="T15" i="20"/>
  <c r="T16" i="20"/>
  <c r="T23" i="20"/>
  <c r="T24" i="20"/>
  <c r="T25" i="20"/>
  <c r="T26" i="20"/>
  <c r="T27" i="20"/>
  <c r="T28" i="20"/>
  <c r="T36" i="20"/>
  <c r="T39" i="20"/>
  <c r="T40" i="20"/>
  <c r="T43" i="20"/>
  <c r="T45" i="20"/>
  <c r="T46" i="20"/>
  <c r="T47" i="20"/>
  <c r="T49" i="20"/>
  <c r="T50" i="20"/>
  <c r="T51" i="20"/>
  <c r="T53" i="20"/>
  <c r="T54" i="20"/>
  <c r="T55" i="20"/>
  <c r="T56" i="20"/>
  <c r="T57" i="20"/>
  <c r="T69" i="20"/>
  <c r="T70" i="20"/>
  <c r="T72" i="20"/>
  <c r="T73" i="20"/>
  <c r="T74" i="20"/>
  <c r="T75" i="20"/>
  <c r="T77" i="20"/>
  <c r="T79" i="20"/>
  <c r="T80" i="20"/>
  <c r="T82" i="20"/>
  <c r="T83" i="20"/>
  <c r="T84" i="20"/>
  <c r="T85" i="20"/>
  <c r="T86" i="20"/>
  <c r="T89" i="20"/>
  <c r="T91" i="20"/>
  <c r="T93" i="20"/>
  <c r="T94" i="20"/>
  <c r="T96" i="20"/>
  <c r="T97" i="20"/>
  <c r="T98" i="20"/>
  <c r="T99" i="20"/>
  <c r="T103" i="20"/>
  <c r="T104" i="20"/>
  <c r="T105" i="20"/>
  <c r="T106" i="20"/>
  <c r="T107" i="20"/>
  <c r="T109" i="20"/>
  <c r="T110" i="20"/>
  <c r="T111" i="20"/>
  <c r="T112" i="20"/>
  <c r="T113" i="20"/>
  <c r="T114" i="20"/>
  <c r="T115" i="20"/>
  <c r="T116" i="20"/>
  <c r="T117" i="20"/>
  <c r="T118" i="20"/>
  <c r="T119" i="20"/>
  <c r="T120" i="20"/>
  <c r="T121" i="20"/>
  <c r="T122" i="20"/>
  <c r="T123" i="20"/>
  <c r="T130" i="20"/>
  <c r="T131" i="20"/>
  <c r="T134" i="20"/>
  <c r="T135" i="20"/>
  <c r="T136" i="20"/>
  <c r="T137" i="20"/>
  <c r="T138" i="20"/>
  <c r="T139" i="20"/>
  <c r="T140" i="20"/>
  <c r="T141" i="20"/>
  <c r="T143" i="20"/>
  <c r="T144" i="20"/>
  <c r="T145" i="20"/>
  <c r="T146" i="20"/>
  <c r="T147" i="20"/>
  <c r="T148" i="20"/>
  <c r="T149" i="20"/>
  <c r="T150" i="20"/>
  <c r="T151" i="20"/>
  <c r="T152" i="20"/>
  <c r="T153" i="20"/>
  <c r="T154" i="20"/>
  <c r="T155" i="20"/>
  <c r="T156" i="20"/>
  <c r="T157" i="20"/>
  <c r="T158" i="20"/>
  <c r="T159" i="20"/>
  <c r="T160" i="20"/>
  <c r="T161" i="20"/>
  <c r="T162" i="20"/>
  <c r="T163" i="20"/>
  <c r="T164" i="20"/>
  <c r="T165" i="20"/>
  <c r="T166" i="20"/>
  <c r="T167" i="20"/>
  <c r="T168" i="20"/>
  <c r="T169" i="20"/>
  <c r="T170" i="20"/>
  <c r="T171" i="20"/>
  <c r="T172" i="20"/>
  <c r="T173" i="20"/>
  <c r="T174" i="20"/>
  <c r="T175" i="20"/>
  <c r="T177" i="20"/>
  <c r="T178" i="20"/>
  <c r="T179" i="20"/>
  <c r="T180" i="20"/>
  <c r="T183" i="20"/>
  <c r="T186" i="20"/>
  <c r="T187" i="20"/>
  <c r="T189" i="20"/>
  <c r="T192" i="20"/>
  <c r="T196" i="20"/>
  <c r="T197" i="20"/>
  <c r="T198" i="20"/>
  <c r="T199" i="20"/>
  <c r="T200" i="20"/>
  <c r="T203" i="20"/>
  <c r="T205" i="20"/>
  <c r="T207" i="20"/>
  <c r="T209" i="20"/>
  <c r="T9" i="20"/>
  <c r="G222" i="20"/>
  <c r="G244" i="20" s="1"/>
  <c r="G221" i="20" l="1"/>
  <c r="B1" i="20" l="1"/>
  <c r="R52" i="30" l="1"/>
  <c r="R54" i="30"/>
  <c r="R56" i="30"/>
  <c r="R57" i="30"/>
  <c r="R61" i="30"/>
  <c r="C67" i="30"/>
  <c r="N52" i="30"/>
  <c r="D67" i="30" s="1"/>
  <c r="N54" i="30"/>
  <c r="F67" i="30" s="1"/>
  <c r="N57" i="30"/>
  <c r="I67" i="30" s="1"/>
  <c r="N58" i="30"/>
  <c r="K67" i="30"/>
  <c r="N60" i="30"/>
  <c r="L67" i="30" s="1"/>
  <c r="N61" i="30"/>
  <c r="J52" i="30"/>
  <c r="D66" i="30" s="1"/>
  <c r="J54" i="30"/>
  <c r="F66" i="30" s="1"/>
  <c r="G66" i="30"/>
  <c r="J57" i="30"/>
  <c r="I66" i="30" s="1"/>
  <c r="J58" i="30"/>
  <c r="J66" i="30" s="1"/>
  <c r="K66" i="30"/>
  <c r="J60" i="30"/>
  <c r="L66" i="30" s="1"/>
  <c r="J61" i="30"/>
  <c r="M66" i="30" s="1"/>
  <c r="F52" i="30"/>
  <c r="F54" i="30"/>
  <c r="F65" i="30" s="1"/>
  <c r="G65" i="30"/>
  <c r="H65" i="30"/>
  <c r="F57" i="30"/>
  <c r="I65" i="30" s="1"/>
  <c r="F58" i="30"/>
  <c r="J65" i="30" s="1"/>
  <c r="K65" i="30"/>
  <c r="F60" i="30"/>
  <c r="L65" i="30" s="1"/>
  <c r="F61" i="30"/>
  <c r="M65" i="30" s="1"/>
  <c r="M67" i="30"/>
  <c r="J67" i="30"/>
  <c r="H67" i="30"/>
  <c r="G67" i="30"/>
  <c r="E67" i="30"/>
  <c r="B67" i="30"/>
  <c r="H66" i="30"/>
  <c r="E66" i="30"/>
  <c r="C66" i="30"/>
  <c r="B66" i="30"/>
  <c r="E65" i="30"/>
  <c r="D65" i="30"/>
  <c r="C65" i="30"/>
  <c r="B65" i="30"/>
  <c r="P133" i="34"/>
  <c r="B132" i="34"/>
  <c r="N123" i="34"/>
  <c r="N121" i="34"/>
  <c r="N119" i="34"/>
  <c r="N117" i="34"/>
  <c r="N115" i="34"/>
  <c r="N113" i="34"/>
  <c r="N111" i="34"/>
  <c r="N109" i="34"/>
  <c r="N105" i="34"/>
  <c r="N104" i="34"/>
  <c r="N98" i="34"/>
  <c r="N97" i="34"/>
  <c r="N95" i="34"/>
  <c r="N84" i="34"/>
  <c r="N81" i="34"/>
  <c r="N80" i="34"/>
  <c r="N78" i="34"/>
  <c r="N74" i="34"/>
  <c r="N58" i="34"/>
  <c r="N56" i="34"/>
  <c r="N54" i="34"/>
  <c r="N52" i="34"/>
  <c r="N50" i="34"/>
  <c r="N48" i="34"/>
  <c r="N46" i="34"/>
  <c r="N42" i="34"/>
  <c r="N41" i="34"/>
  <c r="N35" i="34"/>
  <c r="N34" i="34"/>
  <c r="N32" i="34"/>
  <c r="N28" i="34"/>
  <c r="N21" i="34"/>
  <c r="N18" i="34"/>
  <c r="N17" i="34"/>
  <c r="N15" i="34"/>
  <c r="N11" i="34"/>
  <c r="H45" i="34"/>
  <c r="L14" i="34"/>
  <c r="B14" i="34"/>
  <c r="M37" i="34"/>
  <c r="L37" i="34"/>
  <c r="K37" i="34"/>
  <c r="J37" i="34"/>
  <c r="I37" i="34"/>
  <c r="G37" i="34"/>
  <c r="F37" i="34"/>
  <c r="E37" i="34"/>
  <c r="D37" i="34"/>
  <c r="C37" i="34"/>
  <c r="L9" i="34"/>
  <c r="F9" i="34"/>
  <c r="H14" i="34" l="1"/>
  <c r="C14" i="34"/>
  <c r="K14" i="34"/>
  <c r="G9" i="34"/>
  <c r="I40" i="34"/>
  <c r="I9" i="34"/>
  <c r="F14" i="34"/>
  <c r="D9" i="34"/>
  <c r="E14" i="34"/>
  <c r="D62" i="34"/>
  <c r="N62" i="34" s="1"/>
  <c r="J9" i="34"/>
  <c r="E69" i="30"/>
  <c r="L45" i="34"/>
  <c r="I45" i="34"/>
  <c r="C9" i="34"/>
  <c r="K9" i="34"/>
  <c r="C40" i="34"/>
  <c r="C45" i="34"/>
  <c r="E9" i="34"/>
  <c r="M9" i="34"/>
  <c r="I14" i="34"/>
  <c r="B142" i="34"/>
  <c r="F45" i="34"/>
  <c r="N6" i="34"/>
  <c r="F40" i="34"/>
  <c r="L40" i="34"/>
  <c r="E31" i="34"/>
  <c r="N23" i="34"/>
  <c r="N29" i="34"/>
  <c r="E40" i="34"/>
  <c r="K40" i="34"/>
  <c r="N47" i="34"/>
  <c r="N53" i="34"/>
  <c r="N57" i="34"/>
  <c r="N13" i="34"/>
  <c r="N20" i="34"/>
  <c r="N22" i="34"/>
  <c r="N24" i="34"/>
  <c r="N25" i="34"/>
  <c r="N26" i="34"/>
  <c r="N27" i="34"/>
  <c r="N30" i="34"/>
  <c r="N36" i="34"/>
  <c r="N7" i="34"/>
  <c r="M40" i="34"/>
  <c r="N38" i="34"/>
  <c r="N39" i="34"/>
  <c r="N43" i="34"/>
  <c r="N44" i="34"/>
  <c r="G14" i="34"/>
  <c r="G16" i="34" s="1"/>
  <c r="J14" i="34"/>
  <c r="J16" i="34" s="1"/>
  <c r="H31" i="34"/>
  <c r="B9" i="34"/>
  <c r="B16" i="34" s="1"/>
  <c r="H9" i="34"/>
  <c r="D31" i="34"/>
  <c r="J31" i="34"/>
  <c r="D40" i="34"/>
  <c r="J40" i="34"/>
  <c r="D45" i="34"/>
  <c r="J45" i="34"/>
  <c r="E45" i="34"/>
  <c r="F31" i="34"/>
  <c r="L31" i="34"/>
  <c r="N12" i="34"/>
  <c r="M14" i="34"/>
  <c r="M31" i="34"/>
  <c r="G40" i="34"/>
  <c r="G45" i="34"/>
  <c r="M45" i="34"/>
  <c r="N19" i="34"/>
  <c r="G31" i="34"/>
  <c r="N8" i="34"/>
  <c r="K31" i="34"/>
  <c r="K45" i="34"/>
  <c r="D14" i="34"/>
  <c r="D16" i="34" s="1"/>
  <c r="B31" i="34"/>
  <c r="C31" i="34"/>
  <c r="I31" i="34"/>
  <c r="N67" i="30"/>
  <c r="C69" i="30"/>
  <c r="B69" i="30"/>
  <c r="N66" i="30"/>
  <c r="H69" i="30"/>
  <c r="F69" i="30"/>
  <c r="M69" i="30"/>
  <c r="G69" i="30"/>
  <c r="I69" i="30"/>
  <c r="J69" i="30"/>
  <c r="K69" i="30"/>
  <c r="D69" i="30"/>
  <c r="L69" i="30"/>
  <c r="N65" i="30"/>
  <c r="C16" i="34"/>
  <c r="F16" i="34"/>
  <c r="L16" i="34"/>
  <c r="B37" i="34"/>
  <c r="H37" i="34"/>
  <c r="H40" i="34" s="1"/>
  <c r="B45" i="34"/>
  <c r="I16" i="34" l="1"/>
  <c r="K16" i="34"/>
  <c r="E16" i="34"/>
  <c r="J33" i="34"/>
  <c r="J49" i="34" s="1"/>
  <c r="I33" i="34"/>
  <c r="I49" i="34" s="1"/>
  <c r="E33" i="34"/>
  <c r="E49" i="34" s="1"/>
  <c r="D33" i="34"/>
  <c r="D49" i="34" s="1"/>
  <c r="M16" i="34"/>
  <c r="M33" i="34" s="1"/>
  <c r="M49" i="34" s="1"/>
  <c r="M55" i="34" s="1"/>
  <c r="N37" i="34"/>
  <c r="G33" i="34"/>
  <c r="G49" i="34" s="1"/>
  <c r="G55" i="34" s="1"/>
  <c r="C33" i="34"/>
  <c r="C49" i="34" s="1"/>
  <c r="L33" i="34"/>
  <c r="L49" i="34" s="1"/>
  <c r="F33" i="34"/>
  <c r="F49" i="34" s="1"/>
  <c r="N14" i="34"/>
  <c r="N45" i="34"/>
  <c r="N10" i="34"/>
  <c r="N9" i="34"/>
  <c r="K33" i="34"/>
  <c r="K49" i="34" s="1"/>
  <c r="N31" i="34"/>
  <c r="H16" i="34"/>
  <c r="H33" i="34" s="1"/>
  <c r="H49" i="34" s="1"/>
  <c r="H55" i="34" s="1"/>
  <c r="B33" i="34"/>
  <c r="N69" i="30"/>
  <c r="B40" i="34"/>
  <c r="K55" i="34" l="1"/>
  <c r="K59" i="34" s="1"/>
  <c r="I55" i="34"/>
  <c r="I59" i="34" s="1"/>
  <c r="J55" i="34"/>
  <c r="J59" i="34" s="1"/>
  <c r="L55" i="34"/>
  <c r="L59" i="34" s="1"/>
  <c r="F55" i="34"/>
  <c r="F59" i="34" s="1"/>
  <c r="D51" i="34"/>
  <c r="D55" i="34"/>
  <c r="D59" i="34" s="1"/>
  <c r="E51" i="34"/>
  <c r="E55" i="34"/>
  <c r="E59" i="34" s="1"/>
  <c r="C51" i="34"/>
  <c r="C55" i="34"/>
  <c r="C59" i="34" s="1"/>
  <c r="I51" i="34"/>
  <c r="J51" i="34"/>
  <c r="L51" i="34"/>
  <c r="F51" i="34"/>
  <c r="G51" i="34"/>
  <c r="G59" i="34"/>
  <c r="K51" i="34"/>
  <c r="H51" i="34"/>
  <c r="H59" i="34"/>
  <c r="M59" i="34"/>
  <c r="M51" i="34"/>
  <c r="B49" i="34"/>
  <c r="N40" i="34"/>
  <c r="N16" i="34"/>
  <c r="N33" i="34"/>
  <c r="B51" i="34" l="1"/>
  <c r="N51" i="34" s="1"/>
  <c r="B55" i="34"/>
  <c r="N49" i="34"/>
  <c r="B59" i="34" l="1"/>
  <c r="N59" i="34" s="1"/>
  <c r="N55" i="34"/>
  <c r="D61" i="34"/>
  <c r="D63" i="34" l="1"/>
  <c r="N61" i="34"/>
  <c r="N132" i="34" l="1"/>
  <c r="N142" i="34" s="1"/>
  <c r="M132" i="34"/>
  <c r="M142" i="34" s="1"/>
  <c r="L132" i="34"/>
  <c r="L142" i="34" s="1"/>
  <c r="K132" i="34"/>
  <c r="K142" i="34" s="1"/>
  <c r="J132" i="34"/>
  <c r="J142" i="34" s="1"/>
  <c r="I132" i="34"/>
  <c r="I142" i="34" s="1"/>
  <c r="H132" i="34"/>
  <c r="H142" i="34" s="1"/>
  <c r="G132" i="34"/>
  <c r="G142" i="34" s="1"/>
  <c r="F132" i="34"/>
  <c r="F142" i="34" s="1"/>
  <c r="E132" i="34"/>
  <c r="E142" i="34" s="1"/>
  <c r="D132" i="34"/>
  <c r="D142" i="34" s="1"/>
  <c r="C132" i="34"/>
  <c r="C142" i="34" s="1"/>
  <c r="M83" i="34"/>
  <c r="L83" i="34"/>
  <c r="K83" i="34"/>
  <c r="J83" i="34"/>
  <c r="I83" i="34"/>
  <c r="H83" i="34"/>
  <c r="G83" i="34"/>
  <c r="F83" i="34"/>
  <c r="E83" i="34"/>
  <c r="D83" i="34"/>
  <c r="C83" i="34"/>
  <c r="B83" i="34"/>
  <c r="M73" i="34"/>
  <c r="L73" i="34"/>
  <c r="K73" i="34"/>
  <c r="J73" i="34"/>
  <c r="I73" i="34"/>
  <c r="H73" i="34"/>
  <c r="G73" i="34"/>
  <c r="F73" i="34"/>
  <c r="E73" i="34"/>
  <c r="D73" i="34"/>
  <c r="C73" i="34"/>
  <c r="B73" i="34"/>
  <c r="M120" i="34"/>
  <c r="L120" i="34"/>
  <c r="K120" i="34"/>
  <c r="J120" i="34"/>
  <c r="I120" i="34"/>
  <c r="H120" i="34"/>
  <c r="G120" i="34"/>
  <c r="F120" i="34"/>
  <c r="E120" i="34"/>
  <c r="D120" i="34"/>
  <c r="C120" i="34"/>
  <c r="B120" i="34"/>
  <c r="M116" i="34"/>
  <c r="L116" i="34"/>
  <c r="K116" i="34"/>
  <c r="J116" i="34"/>
  <c r="I116" i="34"/>
  <c r="H116" i="34"/>
  <c r="G116" i="34"/>
  <c r="F116" i="34"/>
  <c r="E116" i="34"/>
  <c r="D116" i="34"/>
  <c r="C116" i="34"/>
  <c r="B116" i="34"/>
  <c r="M110" i="34"/>
  <c r="L110" i="34"/>
  <c r="K110" i="34"/>
  <c r="J110" i="34"/>
  <c r="I110" i="34"/>
  <c r="H110" i="34"/>
  <c r="G110" i="34"/>
  <c r="F110" i="34"/>
  <c r="E110" i="34"/>
  <c r="D110" i="34"/>
  <c r="C110" i="34"/>
  <c r="B110" i="34"/>
  <c r="M107" i="34"/>
  <c r="L107" i="34"/>
  <c r="K107" i="34"/>
  <c r="J107" i="34"/>
  <c r="I107" i="34"/>
  <c r="H107" i="34"/>
  <c r="G107" i="34"/>
  <c r="F107" i="34"/>
  <c r="E107" i="34"/>
  <c r="D107" i="34"/>
  <c r="C107" i="34"/>
  <c r="B107" i="34"/>
  <c r="M106" i="34"/>
  <c r="L106" i="34"/>
  <c r="K106" i="34"/>
  <c r="J106" i="34"/>
  <c r="I106" i="34"/>
  <c r="H106" i="34"/>
  <c r="G106" i="34"/>
  <c r="F106" i="34"/>
  <c r="E106" i="34"/>
  <c r="D106" i="34"/>
  <c r="C106" i="34"/>
  <c r="B106" i="34"/>
  <c r="M102" i="34"/>
  <c r="L102" i="34"/>
  <c r="K102" i="34"/>
  <c r="J102" i="34"/>
  <c r="I102" i="34"/>
  <c r="H102" i="34"/>
  <c r="G102" i="34"/>
  <c r="F102" i="34"/>
  <c r="E102" i="34"/>
  <c r="D102" i="34"/>
  <c r="C102" i="34"/>
  <c r="B102" i="34"/>
  <c r="M101" i="34"/>
  <c r="L101" i="34"/>
  <c r="K101" i="34"/>
  <c r="J101" i="34"/>
  <c r="I101" i="34"/>
  <c r="H101" i="34"/>
  <c r="G101" i="34"/>
  <c r="F101" i="34"/>
  <c r="E101" i="34"/>
  <c r="D101" i="34"/>
  <c r="C101" i="34"/>
  <c r="B101" i="34"/>
  <c r="M100" i="34"/>
  <c r="L100" i="34"/>
  <c r="K100" i="34"/>
  <c r="J100" i="34"/>
  <c r="I100" i="34"/>
  <c r="H100" i="34"/>
  <c r="G100" i="34"/>
  <c r="F100" i="34"/>
  <c r="E100" i="34"/>
  <c r="D100" i="34"/>
  <c r="C100" i="34"/>
  <c r="B100" i="34"/>
  <c r="M99" i="34"/>
  <c r="M103" i="34" s="1"/>
  <c r="L99" i="34"/>
  <c r="K99" i="34"/>
  <c r="J99" i="34"/>
  <c r="I99" i="34"/>
  <c r="H99" i="34"/>
  <c r="G99" i="34"/>
  <c r="F99" i="34"/>
  <c r="E99" i="34"/>
  <c r="D99" i="34"/>
  <c r="C99" i="34"/>
  <c r="B99" i="34"/>
  <c r="M93" i="34"/>
  <c r="L93" i="34"/>
  <c r="K93" i="34"/>
  <c r="J93" i="34"/>
  <c r="I93" i="34"/>
  <c r="H93" i="34"/>
  <c r="G93" i="34"/>
  <c r="F93" i="34"/>
  <c r="E93" i="34"/>
  <c r="D93" i="34"/>
  <c r="C93" i="34"/>
  <c r="B93" i="34"/>
  <c r="M92" i="34"/>
  <c r="L92" i="34"/>
  <c r="K92" i="34"/>
  <c r="J92" i="34"/>
  <c r="I92" i="34"/>
  <c r="H92" i="34"/>
  <c r="G92" i="34"/>
  <c r="F92" i="34"/>
  <c r="E92" i="34"/>
  <c r="D92" i="34"/>
  <c r="C92" i="34"/>
  <c r="B92" i="34"/>
  <c r="M90" i="34"/>
  <c r="L90" i="34"/>
  <c r="K90" i="34"/>
  <c r="J90" i="34"/>
  <c r="I90" i="34"/>
  <c r="H90" i="34"/>
  <c r="G90" i="34"/>
  <c r="F90" i="34"/>
  <c r="E90" i="34"/>
  <c r="D90" i="34"/>
  <c r="C90" i="34"/>
  <c r="B90" i="34"/>
  <c r="M89" i="34"/>
  <c r="L89" i="34"/>
  <c r="K89" i="34"/>
  <c r="J89" i="34"/>
  <c r="I89" i="34"/>
  <c r="H89" i="34"/>
  <c r="G89" i="34"/>
  <c r="F89" i="34"/>
  <c r="E89" i="34"/>
  <c r="D89" i="34"/>
  <c r="C89" i="34"/>
  <c r="B89" i="34"/>
  <c r="M87" i="34"/>
  <c r="L87" i="34"/>
  <c r="K87" i="34"/>
  <c r="J87" i="34"/>
  <c r="I87" i="34"/>
  <c r="H87" i="34"/>
  <c r="G87" i="34"/>
  <c r="F87" i="34"/>
  <c r="E87" i="34"/>
  <c r="D87" i="34"/>
  <c r="C87" i="34"/>
  <c r="B87" i="34"/>
  <c r="M86" i="34"/>
  <c r="L86" i="34"/>
  <c r="K86" i="34"/>
  <c r="J86" i="34"/>
  <c r="I86" i="34"/>
  <c r="H86" i="34"/>
  <c r="G86" i="34"/>
  <c r="F86" i="34"/>
  <c r="E86" i="34"/>
  <c r="D86" i="34"/>
  <c r="C86" i="34"/>
  <c r="B86" i="34"/>
  <c r="M85" i="34"/>
  <c r="L85" i="34"/>
  <c r="K85" i="34"/>
  <c r="J85" i="34"/>
  <c r="I85" i="34"/>
  <c r="H85" i="34"/>
  <c r="G85" i="34"/>
  <c r="F85" i="34"/>
  <c r="E85" i="34"/>
  <c r="D85" i="34"/>
  <c r="C85" i="34"/>
  <c r="B85" i="34"/>
  <c r="M82" i="34"/>
  <c r="L82" i="34"/>
  <c r="K82" i="34"/>
  <c r="J82" i="34"/>
  <c r="I82" i="34"/>
  <c r="H82" i="34"/>
  <c r="G82" i="34"/>
  <c r="F82" i="34"/>
  <c r="E82" i="34"/>
  <c r="D82" i="34"/>
  <c r="C82" i="34"/>
  <c r="B82" i="34"/>
  <c r="M76" i="34"/>
  <c r="L76" i="34"/>
  <c r="K76" i="34"/>
  <c r="J76" i="34"/>
  <c r="I76" i="34"/>
  <c r="H76" i="34"/>
  <c r="G76" i="34"/>
  <c r="F76" i="34"/>
  <c r="E76" i="34"/>
  <c r="D76" i="34"/>
  <c r="C76" i="34"/>
  <c r="B76" i="34"/>
  <c r="M75" i="34"/>
  <c r="M77" i="34" s="1"/>
  <c r="L75" i="34"/>
  <c r="L77" i="34" s="1"/>
  <c r="K75" i="34"/>
  <c r="J75" i="34"/>
  <c r="I75" i="34"/>
  <c r="H75" i="34"/>
  <c r="H77" i="34" s="1"/>
  <c r="G75" i="34"/>
  <c r="F75" i="34"/>
  <c r="E75" i="34"/>
  <c r="E77" i="34" s="1"/>
  <c r="D75" i="34"/>
  <c r="D77" i="34" s="1"/>
  <c r="C75" i="34"/>
  <c r="B75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M70" i="34"/>
  <c r="L70" i="34"/>
  <c r="K70" i="34"/>
  <c r="J70" i="34"/>
  <c r="I70" i="34"/>
  <c r="H70" i="34"/>
  <c r="G70" i="34"/>
  <c r="F70" i="34"/>
  <c r="E70" i="34"/>
  <c r="D70" i="34"/>
  <c r="C70" i="34"/>
  <c r="B70" i="34"/>
  <c r="M69" i="34"/>
  <c r="L69" i="34"/>
  <c r="L72" i="34" s="1"/>
  <c r="K69" i="34"/>
  <c r="J69" i="34"/>
  <c r="I69" i="34"/>
  <c r="I72" i="34" s="1"/>
  <c r="H69" i="34"/>
  <c r="G69" i="34"/>
  <c r="F69" i="34"/>
  <c r="E69" i="34"/>
  <c r="D69" i="34"/>
  <c r="D72" i="34" s="1"/>
  <c r="C69" i="34"/>
  <c r="B69" i="34"/>
  <c r="M88" i="34"/>
  <c r="L88" i="34"/>
  <c r="K88" i="34"/>
  <c r="J88" i="34"/>
  <c r="I88" i="34"/>
  <c r="H88" i="34"/>
  <c r="G88" i="34"/>
  <c r="F88" i="34"/>
  <c r="E88" i="34"/>
  <c r="D88" i="34"/>
  <c r="C88" i="34"/>
  <c r="B88" i="34"/>
  <c r="C91" i="34"/>
  <c r="D91" i="34"/>
  <c r="E91" i="34"/>
  <c r="F91" i="34"/>
  <c r="G91" i="34"/>
  <c r="H91" i="34"/>
  <c r="I91" i="34"/>
  <c r="J91" i="34"/>
  <c r="K91" i="34"/>
  <c r="L91" i="34"/>
  <c r="M91" i="34"/>
  <c r="H108" i="34" l="1"/>
  <c r="D103" i="34"/>
  <c r="L103" i="34"/>
  <c r="D108" i="34"/>
  <c r="L108" i="34"/>
  <c r="E72" i="34"/>
  <c r="E79" i="34" s="1"/>
  <c r="M72" i="34"/>
  <c r="M79" i="34" s="1"/>
  <c r="I103" i="34"/>
  <c r="H103" i="34"/>
  <c r="J72" i="34"/>
  <c r="F77" i="34"/>
  <c r="F103" i="34"/>
  <c r="F108" i="34"/>
  <c r="C72" i="34"/>
  <c r="K72" i="34"/>
  <c r="G77" i="34"/>
  <c r="G103" i="34"/>
  <c r="G108" i="34"/>
  <c r="H72" i="34"/>
  <c r="H79" i="34" s="1"/>
  <c r="F72" i="34"/>
  <c r="J77" i="34"/>
  <c r="J103" i="34"/>
  <c r="J108" i="34"/>
  <c r="G72" i="34"/>
  <c r="C77" i="34"/>
  <c r="K77" i="34"/>
  <c r="C103" i="34"/>
  <c r="C108" i="34"/>
  <c r="K108" i="34"/>
  <c r="E108" i="34"/>
  <c r="M108" i="34"/>
  <c r="I108" i="34"/>
  <c r="N88" i="34"/>
  <c r="B72" i="34"/>
  <c r="N69" i="34"/>
  <c r="N70" i="34"/>
  <c r="N71" i="34"/>
  <c r="B77" i="34"/>
  <c r="N75" i="34"/>
  <c r="N76" i="34"/>
  <c r="N82" i="34"/>
  <c r="N85" i="34"/>
  <c r="N86" i="34"/>
  <c r="N87" i="34"/>
  <c r="N89" i="34"/>
  <c r="N90" i="34"/>
  <c r="N92" i="34"/>
  <c r="N93" i="34"/>
  <c r="B103" i="34"/>
  <c r="N99" i="34"/>
  <c r="N100" i="34"/>
  <c r="N101" i="34"/>
  <c r="N102" i="34"/>
  <c r="B108" i="34"/>
  <c r="N106" i="34"/>
  <c r="N107" i="34"/>
  <c r="N110" i="34"/>
  <c r="N116" i="34"/>
  <c r="N120" i="34"/>
  <c r="N73" i="34"/>
  <c r="N83" i="34"/>
  <c r="I77" i="34"/>
  <c r="I79" i="34" s="1"/>
  <c r="E103" i="34"/>
  <c r="K103" i="34"/>
  <c r="D79" i="34"/>
  <c r="L79" i="34"/>
  <c r="J94" i="34"/>
  <c r="L94" i="34"/>
  <c r="D94" i="34"/>
  <c r="F94" i="34"/>
  <c r="C94" i="34"/>
  <c r="K94" i="34"/>
  <c r="E94" i="34"/>
  <c r="M94" i="34"/>
  <c r="G94" i="34"/>
  <c r="H94" i="34"/>
  <c r="I94" i="34"/>
  <c r="B91" i="34"/>
  <c r="J79" i="34" l="1"/>
  <c r="F79" i="34"/>
  <c r="F96" i="34" s="1"/>
  <c r="F112" i="34" s="1"/>
  <c r="F118" i="34" s="1"/>
  <c r="F122" i="34" s="1"/>
  <c r="C79" i="34"/>
  <c r="C96" i="34" s="1"/>
  <c r="C112" i="34" s="1"/>
  <c r="C118" i="34" s="1"/>
  <c r="C122" i="34" s="1"/>
  <c r="E96" i="34"/>
  <c r="E112" i="34" s="1"/>
  <c r="E114" i="34" s="1"/>
  <c r="G79" i="34"/>
  <c r="G96" i="34" s="1"/>
  <c r="G112" i="34" s="1"/>
  <c r="G118" i="34" s="1"/>
  <c r="G122" i="34" s="1"/>
  <c r="K79" i="34"/>
  <c r="K96" i="34" s="1"/>
  <c r="K112" i="34" s="1"/>
  <c r="K114" i="34" s="1"/>
  <c r="N72" i="34"/>
  <c r="P91" i="34"/>
  <c r="Q91" i="34" s="1"/>
  <c r="R91" i="34" s="1"/>
  <c r="S91" i="34" s="1"/>
  <c r="T91" i="34" s="1"/>
  <c r="U91" i="34" s="1"/>
  <c r="V91" i="34" s="1"/>
  <c r="W91" i="34" s="1"/>
  <c r="X91" i="34" s="1"/>
  <c r="Y91" i="34" s="1"/>
  <c r="Z91" i="34" s="1"/>
  <c r="AA91" i="34" s="1"/>
  <c r="N91" i="34"/>
  <c r="B79" i="34"/>
  <c r="N108" i="34"/>
  <c r="J96" i="34"/>
  <c r="J112" i="34" s="1"/>
  <c r="J114" i="34" s="1"/>
  <c r="I96" i="34"/>
  <c r="I112" i="34" s="1"/>
  <c r="I114" i="34" s="1"/>
  <c r="N103" i="34"/>
  <c r="N77" i="34"/>
  <c r="H96" i="34"/>
  <c r="H112" i="34" s="1"/>
  <c r="H114" i="34" s="1"/>
  <c r="D96" i="34"/>
  <c r="D112" i="34" s="1"/>
  <c r="D114" i="34" s="1"/>
  <c r="M96" i="34"/>
  <c r="M112" i="34" s="1"/>
  <c r="M114" i="34" s="1"/>
  <c r="L96" i="34"/>
  <c r="L112" i="34" s="1"/>
  <c r="L114" i="34" s="1"/>
  <c r="B94" i="34"/>
  <c r="N79" i="34" l="1"/>
  <c r="J118" i="34"/>
  <c r="J122" i="34" s="1"/>
  <c r="I118" i="34"/>
  <c r="I122" i="34" s="1"/>
  <c r="H118" i="34"/>
  <c r="H122" i="34" s="1"/>
  <c r="B96" i="34"/>
  <c r="N94" i="34"/>
  <c r="E118" i="34"/>
  <c r="E122" i="34" s="1"/>
  <c r="G114" i="34"/>
  <c r="L118" i="34"/>
  <c r="L122" i="34" s="1"/>
  <c r="K118" i="34"/>
  <c r="K122" i="34" s="1"/>
  <c r="F114" i="34"/>
  <c r="D118" i="34"/>
  <c r="D122" i="34" s="1"/>
  <c r="C114" i="34"/>
  <c r="M118" i="34"/>
  <c r="M122" i="34" s="1"/>
  <c r="B112" i="34" l="1"/>
  <c r="N96" i="34"/>
  <c r="N112" i="34" l="1"/>
  <c r="B118" i="34"/>
  <c r="B114" i="34"/>
  <c r="N114" i="34" s="1"/>
  <c r="B122" i="34" l="1"/>
  <c r="N122" i="34" s="1"/>
  <c r="N118" i="34"/>
  <c r="O222" i="20" l="1"/>
  <c r="N222" i="20"/>
  <c r="N223" i="20" s="1"/>
  <c r="M222" i="20"/>
  <c r="L222" i="20"/>
  <c r="L227" i="20" s="1"/>
  <c r="K222" i="20"/>
  <c r="J222" i="20"/>
  <c r="I222" i="20"/>
  <c r="T50" i="30" l="1"/>
  <c r="G211" i="20" l="1"/>
  <c r="R222" i="20" l="1"/>
  <c r="Q222" i="20" l="1"/>
  <c r="P222" i="20" l="1"/>
  <c r="H27" i="40" l="1"/>
  <c r="G27" i="40" l="1"/>
  <c r="G26" i="40"/>
  <c r="H26" i="40"/>
  <c r="I26" i="40"/>
  <c r="J26" i="40"/>
  <c r="K26" i="40"/>
  <c r="N26" i="40"/>
  <c r="O26" i="40"/>
  <c r="I27" i="40"/>
  <c r="J27" i="40"/>
  <c r="K27" i="40"/>
  <c r="L27" i="40"/>
  <c r="M27" i="40"/>
  <c r="N27" i="40"/>
  <c r="O27" i="40"/>
  <c r="O11" i="40" l="1"/>
  <c r="N11" i="40"/>
  <c r="M11" i="40"/>
  <c r="L11" i="40"/>
  <c r="K11" i="40"/>
  <c r="J11" i="40"/>
  <c r="I11" i="40"/>
  <c r="H11" i="40"/>
  <c r="G11" i="40"/>
  <c r="F11" i="40"/>
  <c r="D11" i="40"/>
  <c r="E27" i="40" l="1"/>
  <c r="E11" i="40"/>
  <c r="P28" i="34" l="1"/>
  <c r="P138" i="34"/>
  <c r="Q138" i="34" s="1"/>
  <c r="R138" i="34" s="1"/>
  <c r="S138" i="34" s="1"/>
  <c r="T138" i="34" s="1"/>
  <c r="U138" i="34" s="1"/>
  <c r="V138" i="34" s="1"/>
  <c r="W138" i="34" s="1"/>
  <c r="X138" i="34" s="1"/>
  <c r="Y138" i="34" s="1"/>
  <c r="Z138" i="34" s="1"/>
  <c r="AA138" i="34" s="1"/>
  <c r="P122" i="34"/>
  <c r="Q122" i="34" s="1"/>
  <c r="R122" i="34" s="1"/>
  <c r="S122" i="34" s="1"/>
  <c r="T122" i="34" s="1"/>
  <c r="U122" i="34" s="1"/>
  <c r="V122" i="34" s="1"/>
  <c r="W122" i="34" s="1"/>
  <c r="X122" i="34" s="1"/>
  <c r="Y122" i="34" s="1"/>
  <c r="Z122" i="34" s="1"/>
  <c r="AA122" i="34" s="1"/>
  <c r="P120" i="34"/>
  <c r="Q120" i="34" s="1"/>
  <c r="R120" i="34" s="1"/>
  <c r="S120" i="34" s="1"/>
  <c r="T120" i="34" s="1"/>
  <c r="U120" i="34" s="1"/>
  <c r="V120" i="34" s="1"/>
  <c r="W120" i="34" s="1"/>
  <c r="X120" i="34" s="1"/>
  <c r="Y120" i="34" s="1"/>
  <c r="Z120" i="34" s="1"/>
  <c r="AA120" i="34" s="1"/>
  <c r="P118" i="34"/>
  <c r="Q118" i="34" s="1"/>
  <c r="R118" i="34" s="1"/>
  <c r="S118" i="34" s="1"/>
  <c r="T118" i="34" s="1"/>
  <c r="U118" i="34" s="1"/>
  <c r="V118" i="34" s="1"/>
  <c r="W118" i="34" s="1"/>
  <c r="X118" i="34" s="1"/>
  <c r="Y118" i="34" s="1"/>
  <c r="Z118" i="34" s="1"/>
  <c r="AA118" i="34" s="1"/>
  <c r="P116" i="34"/>
  <c r="Q116" i="34" s="1"/>
  <c r="R116" i="34" s="1"/>
  <c r="S116" i="34" s="1"/>
  <c r="T116" i="34" s="1"/>
  <c r="U116" i="34" s="1"/>
  <c r="V116" i="34" s="1"/>
  <c r="W116" i="34" s="1"/>
  <c r="X116" i="34" s="1"/>
  <c r="Y116" i="34" s="1"/>
  <c r="Z116" i="34" s="1"/>
  <c r="AA116" i="34" s="1"/>
  <c r="P114" i="34"/>
  <c r="Q114" i="34" s="1"/>
  <c r="R114" i="34" s="1"/>
  <c r="S114" i="34" s="1"/>
  <c r="T114" i="34" s="1"/>
  <c r="U114" i="34" s="1"/>
  <c r="V114" i="34" s="1"/>
  <c r="W114" i="34" s="1"/>
  <c r="X114" i="34" s="1"/>
  <c r="Y114" i="34" s="1"/>
  <c r="Z114" i="34" s="1"/>
  <c r="AA114" i="34" s="1"/>
  <c r="P112" i="34"/>
  <c r="Q112" i="34" s="1"/>
  <c r="R112" i="34" s="1"/>
  <c r="S112" i="34" s="1"/>
  <c r="T112" i="34" s="1"/>
  <c r="U112" i="34" s="1"/>
  <c r="V112" i="34" s="1"/>
  <c r="W112" i="34" s="1"/>
  <c r="X112" i="34" s="1"/>
  <c r="Y112" i="34" s="1"/>
  <c r="Z112" i="34" s="1"/>
  <c r="AA112" i="34" s="1"/>
  <c r="Q110" i="34"/>
  <c r="R110" i="34" s="1"/>
  <c r="S110" i="34" s="1"/>
  <c r="T110" i="34" s="1"/>
  <c r="U110" i="34" s="1"/>
  <c r="V110" i="34" s="1"/>
  <c r="W110" i="34" s="1"/>
  <c r="X110" i="34" s="1"/>
  <c r="Y110" i="34" s="1"/>
  <c r="Z110" i="34" s="1"/>
  <c r="AA110" i="34" s="1"/>
  <c r="P108" i="34"/>
  <c r="Q108" i="34" s="1"/>
  <c r="R108" i="34" s="1"/>
  <c r="S108" i="34" s="1"/>
  <c r="T108" i="34" s="1"/>
  <c r="U108" i="34" s="1"/>
  <c r="V108" i="34" s="1"/>
  <c r="W108" i="34" s="1"/>
  <c r="X108" i="34" s="1"/>
  <c r="Y108" i="34" s="1"/>
  <c r="Z108" i="34" s="1"/>
  <c r="AA108" i="34" s="1"/>
  <c r="P107" i="34"/>
  <c r="Q107" i="34" s="1"/>
  <c r="R107" i="34" s="1"/>
  <c r="S107" i="34" s="1"/>
  <c r="T107" i="34" s="1"/>
  <c r="U107" i="34" s="1"/>
  <c r="V107" i="34" s="1"/>
  <c r="W107" i="34" s="1"/>
  <c r="X107" i="34" s="1"/>
  <c r="Y107" i="34" s="1"/>
  <c r="Z107" i="34" s="1"/>
  <c r="AA107" i="34" s="1"/>
  <c r="P106" i="34"/>
  <c r="Q106" i="34" s="1"/>
  <c r="R106" i="34" s="1"/>
  <c r="S106" i="34" s="1"/>
  <c r="T106" i="34" s="1"/>
  <c r="U106" i="34" s="1"/>
  <c r="V106" i="34" s="1"/>
  <c r="W106" i="34" s="1"/>
  <c r="X106" i="34" s="1"/>
  <c r="Y106" i="34" s="1"/>
  <c r="Z106" i="34" s="1"/>
  <c r="AA106" i="34" s="1"/>
  <c r="P103" i="34"/>
  <c r="Q103" i="34" s="1"/>
  <c r="R103" i="34" s="1"/>
  <c r="S103" i="34" s="1"/>
  <c r="T103" i="34" s="1"/>
  <c r="U103" i="34" s="1"/>
  <c r="V103" i="34" s="1"/>
  <c r="W103" i="34" s="1"/>
  <c r="X103" i="34" s="1"/>
  <c r="Y103" i="34" s="1"/>
  <c r="Z103" i="34" s="1"/>
  <c r="AA103" i="34" s="1"/>
  <c r="P102" i="34"/>
  <c r="Q102" i="34" s="1"/>
  <c r="R102" i="34" s="1"/>
  <c r="S102" i="34" s="1"/>
  <c r="T102" i="34" s="1"/>
  <c r="U102" i="34" s="1"/>
  <c r="V102" i="34" s="1"/>
  <c r="W102" i="34" s="1"/>
  <c r="X102" i="34" s="1"/>
  <c r="Y102" i="34" s="1"/>
  <c r="Z102" i="34" s="1"/>
  <c r="AA102" i="34" s="1"/>
  <c r="P101" i="34"/>
  <c r="Q101" i="34" s="1"/>
  <c r="R101" i="34" s="1"/>
  <c r="S101" i="34" s="1"/>
  <c r="T101" i="34" s="1"/>
  <c r="U101" i="34" s="1"/>
  <c r="V101" i="34" s="1"/>
  <c r="W101" i="34" s="1"/>
  <c r="X101" i="34" s="1"/>
  <c r="Y101" i="34" s="1"/>
  <c r="Z101" i="34" s="1"/>
  <c r="AA101" i="34" s="1"/>
  <c r="P100" i="34"/>
  <c r="Q100" i="34" s="1"/>
  <c r="R100" i="34" s="1"/>
  <c r="S100" i="34" s="1"/>
  <c r="T100" i="34" s="1"/>
  <c r="U100" i="34" s="1"/>
  <c r="V100" i="34" s="1"/>
  <c r="W100" i="34" s="1"/>
  <c r="X100" i="34" s="1"/>
  <c r="Y100" i="34" s="1"/>
  <c r="Z100" i="34" s="1"/>
  <c r="AA100" i="34" s="1"/>
  <c r="P99" i="34"/>
  <c r="Q99" i="34" s="1"/>
  <c r="R99" i="34" s="1"/>
  <c r="S99" i="34" s="1"/>
  <c r="T99" i="34" s="1"/>
  <c r="U99" i="34" s="1"/>
  <c r="V99" i="34" s="1"/>
  <c r="W99" i="34" s="1"/>
  <c r="X99" i="34" s="1"/>
  <c r="Y99" i="34" s="1"/>
  <c r="Z99" i="34" s="1"/>
  <c r="AA99" i="34" s="1"/>
  <c r="P96" i="34"/>
  <c r="Q96" i="34" s="1"/>
  <c r="R96" i="34" s="1"/>
  <c r="S96" i="34" s="1"/>
  <c r="T96" i="34" s="1"/>
  <c r="U96" i="34" s="1"/>
  <c r="V96" i="34" s="1"/>
  <c r="W96" i="34" s="1"/>
  <c r="X96" i="34" s="1"/>
  <c r="Y96" i="34" s="1"/>
  <c r="Z96" i="34" s="1"/>
  <c r="AA96" i="34" s="1"/>
  <c r="P94" i="34"/>
  <c r="Q94" i="34" s="1"/>
  <c r="R94" i="34" s="1"/>
  <c r="S94" i="34" s="1"/>
  <c r="T94" i="34" s="1"/>
  <c r="U94" i="34" s="1"/>
  <c r="V94" i="34" s="1"/>
  <c r="W94" i="34" s="1"/>
  <c r="X94" i="34" s="1"/>
  <c r="Y94" i="34" s="1"/>
  <c r="Z94" i="34" s="1"/>
  <c r="AA94" i="34" s="1"/>
  <c r="P93" i="34"/>
  <c r="Q93" i="34" s="1"/>
  <c r="R93" i="34" s="1"/>
  <c r="S93" i="34" s="1"/>
  <c r="T93" i="34" s="1"/>
  <c r="U93" i="34" s="1"/>
  <c r="V93" i="34" s="1"/>
  <c r="W93" i="34" s="1"/>
  <c r="X93" i="34" s="1"/>
  <c r="Y93" i="34" s="1"/>
  <c r="Z93" i="34" s="1"/>
  <c r="AA93" i="34" s="1"/>
  <c r="P92" i="34"/>
  <c r="Q92" i="34" s="1"/>
  <c r="R92" i="34" s="1"/>
  <c r="S92" i="34" s="1"/>
  <c r="T92" i="34" s="1"/>
  <c r="U92" i="34" s="1"/>
  <c r="V92" i="34" s="1"/>
  <c r="W92" i="34" s="1"/>
  <c r="X92" i="34" s="1"/>
  <c r="Y92" i="34" s="1"/>
  <c r="Z92" i="34" s="1"/>
  <c r="AA92" i="34" s="1"/>
  <c r="P90" i="34"/>
  <c r="Q90" i="34" s="1"/>
  <c r="R90" i="34" s="1"/>
  <c r="S90" i="34" s="1"/>
  <c r="T90" i="34" s="1"/>
  <c r="U90" i="34" s="1"/>
  <c r="V90" i="34" s="1"/>
  <c r="W90" i="34" s="1"/>
  <c r="X90" i="34" s="1"/>
  <c r="Y90" i="34" s="1"/>
  <c r="Z90" i="34" s="1"/>
  <c r="AA90" i="34" s="1"/>
  <c r="P89" i="34"/>
  <c r="Q89" i="34" s="1"/>
  <c r="R89" i="34" s="1"/>
  <c r="S89" i="34" s="1"/>
  <c r="T89" i="34" s="1"/>
  <c r="U89" i="34" s="1"/>
  <c r="V89" i="34" s="1"/>
  <c r="W89" i="34" s="1"/>
  <c r="X89" i="34" s="1"/>
  <c r="Y89" i="34" s="1"/>
  <c r="Z89" i="34" s="1"/>
  <c r="AA89" i="34" s="1"/>
  <c r="P88" i="34"/>
  <c r="Q88" i="34" s="1"/>
  <c r="R88" i="34" s="1"/>
  <c r="S88" i="34" s="1"/>
  <c r="T88" i="34" s="1"/>
  <c r="U88" i="34" s="1"/>
  <c r="V88" i="34" s="1"/>
  <c r="W88" i="34" s="1"/>
  <c r="X88" i="34" s="1"/>
  <c r="Y88" i="34" s="1"/>
  <c r="Z88" i="34" s="1"/>
  <c r="AA88" i="34" s="1"/>
  <c r="P87" i="34"/>
  <c r="Q87" i="34" s="1"/>
  <c r="R87" i="34" s="1"/>
  <c r="S87" i="34" s="1"/>
  <c r="T87" i="34" s="1"/>
  <c r="U87" i="34" s="1"/>
  <c r="V87" i="34" s="1"/>
  <c r="W87" i="34" s="1"/>
  <c r="X87" i="34" s="1"/>
  <c r="Y87" i="34" s="1"/>
  <c r="Z87" i="34" s="1"/>
  <c r="AA87" i="34" s="1"/>
  <c r="P86" i="34"/>
  <c r="Q86" i="34" s="1"/>
  <c r="R86" i="34" s="1"/>
  <c r="S86" i="34" s="1"/>
  <c r="T86" i="34" s="1"/>
  <c r="U86" i="34" s="1"/>
  <c r="V86" i="34" s="1"/>
  <c r="W86" i="34" s="1"/>
  <c r="X86" i="34" s="1"/>
  <c r="Y86" i="34" s="1"/>
  <c r="Z86" i="34" s="1"/>
  <c r="AA86" i="34" s="1"/>
  <c r="P85" i="34"/>
  <c r="Q85" i="34" s="1"/>
  <c r="R85" i="34" s="1"/>
  <c r="S85" i="34" s="1"/>
  <c r="T85" i="34" s="1"/>
  <c r="U85" i="34" s="1"/>
  <c r="V85" i="34" s="1"/>
  <c r="W85" i="34" s="1"/>
  <c r="X85" i="34" s="1"/>
  <c r="Y85" i="34" s="1"/>
  <c r="Z85" i="34" s="1"/>
  <c r="AA85" i="34" s="1"/>
  <c r="AA83" i="34"/>
  <c r="Z83" i="34"/>
  <c r="Y83" i="34"/>
  <c r="X83" i="34"/>
  <c r="W83" i="34"/>
  <c r="V83" i="34"/>
  <c r="U83" i="34"/>
  <c r="T83" i="34"/>
  <c r="S83" i="34"/>
  <c r="R83" i="34"/>
  <c r="Q83" i="34"/>
  <c r="P83" i="34"/>
  <c r="P82" i="34"/>
  <c r="Q82" i="34" s="1"/>
  <c r="R82" i="34" s="1"/>
  <c r="S82" i="34" s="1"/>
  <c r="T82" i="34" s="1"/>
  <c r="U82" i="34" s="1"/>
  <c r="V82" i="34" s="1"/>
  <c r="W82" i="34" s="1"/>
  <c r="X82" i="34" s="1"/>
  <c r="Y82" i="34" s="1"/>
  <c r="Z82" i="34" s="1"/>
  <c r="AA82" i="34" s="1"/>
  <c r="P79" i="34"/>
  <c r="Q79" i="34" s="1"/>
  <c r="R79" i="34" s="1"/>
  <c r="S79" i="34" s="1"/>
  <c r="T79" i="34" s="1"/>
  <c r="U79" i="34" s="1"/>
  <c r="V79" i="34" s="1"/>
  <c r="W79" i="34" s="1"/>
  <c r="X79" i="34" s="1"/>
  <c r="Y79" i="34" s="1"/>
  <c r="Z79" i="34" s="1"/>
  <c r="AA79" i="34" s="1"/>
  <c r="P77" i="34"/>
  <c r="Q77" i="34" s="1"/>
  <c r="R77" i="34" s="1"/>
  <c r="S77" i="34" s="1"/>
  <c r="T77" i="34" s="1"/>
  <c r="U77" i="34" s="1"/>
  <c r="V77" i="34" s="1"/>
  <c r="W77" i="34" s="1"/>
  <c r="X77" i="34" s="1"/>
  <c r="Y77" i="34" s="1"/>
  <c r="Z77" i="34" s="1"/>
  <c r="AA77" i="34" s="1"/>
  <c r="P76" i="34"/>
  <c r="P75" i="34"/>
  <c r="Q75" i="34" s="1"/>
  <c r="R75" i="34" s="1"/>
  <c r="S75" i="34" s="1"/>
  <c r="T75" i="34" s="1"/>
  <c r="U75" i="34" s="1"/>
  <c r="V75" i="34" s="1"/>
  <c r="W75" i="34" s="1"/>
  <c r="X75" i="34" s="1"/>
  <c r="Y75" i="34" s="1"/>
  <c r="Z75" i="34" s="1"/>
  <c r="AA75" i="34" s="1"/>
  <c r="AA73" i="34"/>
  <c r="Z73" i="34"/>
  <c r="Y73" i="34"/>
  <c r="X73" i="34"/>
  <c r="W73" i="34"/>
  <c r="V73" i="34"/>
  <c r="U73" i="34"/>
  <c r="T73" i="34"/>
  <c r="S73" i="34"/>
  <c r="R73" i="34"/>
  <c r="Q73" i="34"/>
  <c r="P73" i="34"/>
  <c r="P72" i="34"/>
  <c r="Q72" i="34" s="1"/>
  <c r="R72" i="34" s="1"/>
  <c r="S72" i="34" s="1"/>
  <c r="T72" i="34" s="1"/>
  <c r="U72" i="34" s="1"/>
  <c r="V72" i="34" s="1"/>
  <c r="W72" i="34" s="1"/>
  <c r="X72" i="34" s="1"/>
  <c r="Y72" i="34" s="1"/>
  <c r="Z72" i="34" s="1"/>
  <c r="AA72" i="34" s="1"/>
  <c r="P71" i="34"/>
  <c r="Q71" i="34" s="1"/>
  <c r="R71" i="34" s="1"/>
  <c r="S71" i="34" s="1"/>
  <c r="T71" i="34" s="1"/>
  <c r="U71" i="34" s="1"/>
  <c r="V71" i="34" s="1"/>
  <c r="W71" i="34" s="1"/>
  <c r="X71" i="34" s="1"/>
  <c r="Y71" i="34" s="1"/>
  <c r="Z71" i="34" s="1"/>
  <c r="AA71" i="34" s="1"/>
  <c r="P70" i="34"/>
  <c r="Q70" i="34" s="1"/>
  <c r="R70" i="34" s="1"/>
  <c r="S70" i="34" s="1"/>
  <c r="T70" i="34" s="1"/>
  <c r="U70" i="34" s="1"/>
  <c r="V70" i="34" s="1"/>
  <c r="W70" i="34" s="1"/>
  <c r="X70" i="34" s="1"/>
  <c r="Y70" i="34" s="1"/>
  <c r="Z70" i="34" s="1"/>
  <c r="AA70" i="34" s="1"/>
  <c r="P69" i="34"/>
  <c r="Q69" i="34" s="1"/>
  <c r="R69" i="34" s="1"/>
  <c r="S69" i="34" s="1"/>
  <c r="T69" i="34" s="1"/>
  <c r="U69" i="34" s="1"/>
  <c r="V69" i="34" s="1"/>
  <c r="W69" i="34" s="1"/>
  <c r="X69" i="34" s="1"/>
  <c r="Y69" i="34" s="1"/>
  <c r="Z69" i="34" s="1"/>
  <c r="AA69" i="34" s="1"/>
  <c r="AA66" i="34"/>
  <c r="Z66" i="34"/>
  <c r="Y66" i="34"/>
  <c r="X66" i="34"/>
  <c r="W66" i="34"/>
  <c r="V66" i="34"/>
  <c r="U66" i="34"/>
  <c r="T66" i="34"/>
  <c r="S66" i="34"/>
  <c r="R66" i="34"/>
  <c r="Q66" i="34"/>
  <c r="P66" i="34"/>
  <c r="Q62" i="34"/>
  <c r="R62" i="34" s="1"/>
  <c r="S62" i="34" s="1"/>
  <c r="T62" i="34" s="1"/>
  <c r="U62" i="34" s="1"/>
  <c r="V62" i="34" s="1"/>
  <c r="W62" i="34" s="1"/>
  <c r="X62" i="34" s="1"/>
  <c r="Y62" i="34" s="1"/>
  <c r="Z62" i="34" s="1"/>
  <c r="AA62" i="34" s="1"/>
  <c r="Q61" i="34"/>
  <c r="R61" i="34" s="1"/>
  <c r="S61" i="34" s="1"/>
  <c r="T61" i="34" s="1"/>
  <c r="U61" i="34" s="1"/>
  <c r="V61" i="34" s="1"/>
  <c r="W61" i="34" s="1"/>
  <c r="X61" i="34" s="1"/>
  <c r="Y61" i="34" s="1"/>
  <c r="Z61" i="34" s="1"/>
  <c r="AA61" i="34" s="1"/>
  <c r="P59" i="34"/>
  <c r="Q59" i="34" s="1"/>
  <c r="R59" i="34" s="1"/>
  <c r="S59" i="34" s="1"/>
  <c r="T59" i="34" s="1"/>
  <c r="U59" i="34" s="1"/>
  <c r="V59" i="34" s="1"/>
  <c r="W59" i="34" s="1"/>
  <c r="X59" i="34" s="1"/>
  <c r="Y59" i="34" s="1"/>
  <c r="Z59" i="34" s="1"/>
  <c r="AA59" i="34" s="1"/>
  <c r="P57" i="34"/>
  <c r="Q57" i="34" s="1"/>
  <c r="R57" i="34" s="1"/>
  <c r="S57" i="34" s="1"/>
  <c r="T57" i="34" s="1"/>
  <c r="U57" i="34" s="1"/>
  <c r="V57" i="34" s="1"/>
  <c r="W57" i="34" s="1"/>
  <c r="X57" i="34" s="1"/>
  <c r="Y57" i="34" s="1"/>
  <c r="Z57" i="34" s="1"/>
  <c r="AA57" i="34" s="1"/>
  <c r="P55" i="34"/>
  <c r="Q55" i="34" s="1"/>
  <c r="R55" i="34" s="1"/>
  <c r="S55" i="34" s="1"/>
  <c r="T55" i="34" s="1"/>
  <c r="U55" i="34" s="1"/>
  <c r="V55" i="34" s="1"/>
  <c r="W55" i="34" s="1"/>
  <c r="X55" i="34" s="1"/>
  <c r="Y55" i="34" s="1"/>
  <c r="Z55" i="34" s="1"/>
  <c r="AA55" i="34" s="1"/>
  <c r="P51" i="34"/>
  <c r="Q51" i="34" s="1"/>
  <c r="R51" i="34" s="1"/>
  <c r="S51" i="34" s="1"/>
  <c r="T51" i="34" s="1"/>
  <c r="U51" i="34" s="1"/>
  <c r="V51" i="34" s="1"/>
  <c r="W51" i="34" s="1"/>
  <c r="X51" i="34" s="1"/>
  <c r="Y51" i="34" s="1"/>
  <c r="Z51" i="34" s="1"/>
  <c r="AA51" i="34" s="1"/>
  <c r="P49" i="34"/>
  <c r="Q49" i="34" s="1"/>
  <c r="R49" i="34" s="1"/>
  <c r="S49" i="34" s="1"/>
  <c r="T49" i="34" s="1"/>
  <c r="U49" i="34" s="1"/>
  <c r="V49" i="34" s="1"/>
  <c r="W49" i="34" s="1"/>
  <c r="X49" i="34" s="1"/>
  <c r="Y49" i="34" s="1"/>
  <c r="Z49" i="34" s="1"/>
  <c r="AA49" i="34" s="1"/>
  <c r="P47" i="34"/>
  <c r="Q47" i="34" s="1"/>
  <c r="R47" i="34" s="1"/>
  <c r="S47" i="34" s="1"/>
  <c r="T47" i="34" s="1"/>
  <c r="U47" i="34" s="1"/>
  <c r="V47" i="34" s="1"/>
  <c r="W47" i="34" s="1"/>
  <c r="X47" i="34" s="1"/>
  <c r="Y47" i="34" s="1"/>
  <c r="Z47" i="34" s="1"/>
  <c r="AA47" i="34" s="1"/>
  <c r="P45" i="34"/>
  <c r="Q45" i="34" s="1"/>
  <c r="R45" i="34" s="1"/>
  <c r="S45" i="34" s="1"/>
  <c r="T45" i="34" s="1"/>
  <c r="U45" i="34" s="1"/>
  <c r="V45" i="34" s="1"/>
  <c r="W45" i="34" s="1"/>
  <c r="X45" i="34" s="1"/>
  <c r="Y45" i="34" s="1"/>
  <c r="Z45" i="34" s="1"/>
  <c r="AA45" i="34" s="1"/>
  <c r="P44" i="34"/>
  <c r="Q44" i="34" s="1"/>
  <c r="R44" i="34" s="1"/>
  <c r="S44" i="34" s="1"/>
  <c r="T44" i="34" s="1"/>
  <c r="U44" i="34" s="1"/>
  <c r="V44" i="34" s="1"/>
  <c r="W44" i="34" s="1"/>
  <c r="X44" i="34" s="1"/>
  <c r="Y44" i="34" s="1"/>
  <c r="Z44" i="34" s="1"/>
  <c r="AA44" i="34" s="1"/>
  <c r="P43" i="34"/>
  <c r="Q43" i="34" s="1"/>
  <c r="R43" i="34" s="1"/>
  <c r="S43" i="34" s="1"/>
  <c r="T43" i="34" s="1"/>
  <c r="U43" i="34" s="1"/>
  <c r="V43" i="34" s="1"/>
  <c r="W43" i="34" s="1"/>
  <c r="X43" i="34" s="1"/>
  <c r="Y43" i="34" s="1"/>
  <c r="Z43" i="34" s="1"/>
  <c r="AA43" i="34" s="1"/>
  <c r="P40" i="34"/>
  <c r="Q40" i="34" s="1"/>
  <c r="R40" i="34" s="1"/>
  <c r="S40" i="34" s="1"/>
  <c r="T40" i="34" s="1"/>
  <c r="U40" i="34" s="1"/>
  <c r="V40" i="34" s="1"/>
  <c r="W40" i="34" s="1"/>
  <c r="X40" i="34" s="1"/>
  <c r="Y40" i="34" s="1"/>
  <c r="Z40" i="34" s="1"/>
  <c r="AA40" i="34" s="1"/>
  <c r="P39" i="34"/>
  <c r="Q39" i="34" s="1"/>
  <c r="R39" i="34" s="1"/>
  <c r="S39" i="34" s="1"/>
  <c r="T39" i="34" s="1"/>
  <c r="U39" i="34" s="1"/>
  <c r="V39" i="34" s="1"/>
  <c r="W39" i="34" s="1"/>
  <c r="X39" i="34" s="1"/>
  <c r="Y39" i="34" s="1"/>
  <c r="Z39" i="34" s="1"/>
  <c r="AA39" i="34" s="1"/>
  <c r="P38" i="34"/>
  <c r="Q38" i="34" s="1"/>
  <c r="R38" i="34" s="1"/>
  <c r="S38" i="34" s="1"/>
  <c r="T38" i="34" s="1"/>
  <c r="U38" i="34" s="1"/>
  <c r="V38" i="34" s="1"/>
  <c r="W38" i="34" s="1"/>
  <c r="X38" i="34" s="1"/>
  <c r="Y38" i="34" s="1"/>
  <c r="Z38" i="34" s="1"/>
  <c r="AA38" i="34" s="1"/>
  <c r="P37" i="34"/>
  <c r="Q37" i="34" s="1"/>
  <c r="R37" i="34" s="1"/>
  <c r="S37" i="34" s="1"/>
  <c r="T37" i="34" s="1"/>
  <c r="U37" i="34" s="1"/>
  <c r="V37" i="34" s="1"/>
  <c r="W37" i="34" s="1"/>
  <c r="X37" i="34" s="1"/>
  <c r="Y37" i="34" s="1"/>
  <c r="Z37" i="34" s="1"/>
  <c r="AA37" i="34" s="1"/>
  <c r="P36" i="34"/>
  <c r="Q36" i="34" s="1"/>
  <c r="R36" i="34" s="1"/>
  <c r="S36" i="34" s="1"/>
  <c r="T36" i="34" s="1"/>
  <c r="U36" i="34" s="1"/>
  <c r="V36" i="34" s="1"/>
  <c r="W36" i="34" s="1"/>
  <c r="X36" i="34" s="1"/>
  <c r="Y36" i="34" s="1"/>
  <c r="Z36" i="34" s="1"/>
  <c r="AA36" i="34" s="1"/>
  <c r="P33" i="34"/>
  <c r="Q33" i="34" s="1"/>
  <c r="R33" i="34" s="1"/>
  <c r="S33" i="34" s="1"/>
  <c r="T33" i="34" s="1"/>
  <c r="U33" i="34" s="1"/>
  <c r="V33" i="34" s="1"/>
  <c r="W33" i="34" s="1"/>
  <c r="X33" i="34" s="1"/>
  <c r="Y33" i="34" s="1"/>
  <c r="Z33" i="34" s="1"/>
  <c r="AA33" i="34" s="1"/>
  <c r="P31" i="34"/>
  <c r="Q31" i="34" s="1"/>
  <c r="R31" i="34" s="1"/>
  <c r="S31" i="34" s="1"/>
  <c r="T31" i="34" s="1"/>
  <c r="U31" i="34" s="1"/>
  <c r="V31" i="34" s="1"/>
  <c r="W31" i="34" s="1"/>
  <c r="X31" i="34" s="1"/>
  <c r="Y31" i="34" s="1"/>
  <c r="Z31" i="34" s="1"/>
  <c r="AA31" i="34" s="1"/>
  <c r="P30" i="34"/>
  <c r="Q30" i="34" s="1"/>
  <c r="R30" i="34" s="1"/>
  <c r="S30" i="34" s="1"/>
  <c r="T30" i="34" s="1"/>
  <c r="U30" i="34" s="1"/>
  <c r="V30" i="34" s="1"/>
  <c r="W30" i="34" s="1"/>
  <c r="X30" i="34" s="1"/>
  <c r="Y30" i="34" s="1"/>
  <c r="Z30" i="34" s="1"/>
  <c r="AA30" i="34" s="1"/>
  <c r="P29" i="34"/>
  <c r="Q29" i="34" s="1"/>
  <c r="R29" i="34" s="1"/>
  <c r="S29" i="34" s="1"/>
  <c r="T29" i="34" s="1"/>
  <c r="U29" i="34" s="1"/>
  <c r="V29" i="34" s="1"/>
  <c r="W29" i="34" s="1"/>
  <c r="X29" i="34" s="1"/>
  <c r="Y29" i="34" s="1"/>
  <c r="Z29" i="34" s="1"/>
  <c r="AA29" i="34" s="1"/>
  <c r="P27" i="34"/>
  <c r="Q27" i="34" s="1"/>
  <c r="R27" i="34" s="1"/>
  <c r="S27" i="34" s="1"/>
  <c r="T27" i="34" s="1"/>
  <c r="U27" i="34" s="1"/>
  <c r="V27" i="34" s="1"/>
  <c r="W27" i="34" s="1"/>
  <c r="X27" i="34" s="1"/>
  <c r="Y27" i="34" s="1"/>
  <c r="Z27" i="34" s="1"/>
  <c r="AA27" i="34" s="1"/>
  <c r="P26" i="34"/>
  <c r="Q26" i="34" s="1"/>
  <c r="R26" i="34" s="1"/>
  <c r="S26" i="34" s="1"/>
  <c r="T26" i="34" s="1"/>
  <c r="U26" i="34" s="1"/>
  <c r="V26" i="34" s="1"/>
  <c r="W26" i="34" s="1"/>
  <c r="X26" i="34" s="1"/>
  <c r="Y26" i="34" s="1"/>
  <c r="Z26" i="34" s="1"/>
  <c r="AA26" i="34" s="1"/>
  <c r="P24" i="34"/>
  <c r="Q24" i="34" s="1"/>
  <c r="R24" i="34" s="1"/>
  <c r="S24" i="34" s="1"/>
  <c r="T24" i="34" s="1"/>
  <c r="U24" i="34" s="1"/>
  <c r="V24" i="34" s="1"/>
  <c r="W24" i="34" s="1"/>
  <c r="X24" i="34" s="1"/>
  <c r="Y24" i="34" s="1"/>
  <c r="Z24" i="34" s="1"/>
  <c r="AA24" i="34" s="1"/>
  <c r="P23" i="34"/>
  <c r="Q23" i="34" s="1"/>
  <c r="R23" i="34" s="1"/>
  <c r="S23" i="34" s="1"/>
  <c r="T23" i="34" s="1"/>
  <c r="U23" i="34" s="1"/>
  <c r="V23" i="34" s="1"/>
  <c r="W23" i="34" s="1"/>
  <c r="X23" i="34" s="1"/>
  <c r="Y23" i="34" s="1"/>
  <c r="Z23" i="34" s="1"/>
  <c r="AA23" i="34" s="1"/>
  <c r="P22" i="34"/>
  <c r="Q22" i="34" s="1"/>
  <c r="R22" i="34" s="1"/>
  <c r="S22" i="34" s="1"/>
  <c r="T22" i="34" s="1"/>
  <c r="U22" i="34" s="1"/>
  <c r="V22" i="34" s="1"/>
  <c r="W22" i="34" s="1"/>
  <c r="X22" i="34" s="1"/>
  <c r="Y22" i="34" s="1"/>
  <c r="Z22" i="34" s="1"/>
  <c r="AA22" i="34" s="1"/>
  <c r="AA20" i="34"/>
  <c r="Z20" i="34"/>
  <c r="Y20" i="34"/>
  <c r="X20" i="34"/>
  <c r="W20" i="34"/>
  <c r="V20" i="34"/>
  <c r="U20" i="34"/>
  <c r="T20" i="34"/>
  <c r="S20" i="34"/>
  <c r="R20" i="34"/>
  <c r="Q20" i="34"/>
  <c r="P20" i="34"/>
  <c r="P19" i="34"/>
  <c r="Q19" i="34" s="1"/>
  <c r="R19" i="34" s="1"/>
  <c r="S19" i="34" s="1"/>
  <c r="T19" i="34" s="1"/>
  <c r="U19" i="34" s="1"/>
  <c r="V19" i="34" s="1"/>
  <c r="W19" i="34" s="1"/>
  <c r="X19" i="34" s="1"/>
  <c r="Y19" i="34" s="1"/>
  <c r="Z19" i="34" s="1"/>
  <c r="AA19" i="34" s="1"/>
  <c r="P16" i="34"/>
  <c r="Q16" i="34" s="1"/>
  <c r="R16" i="34" s="1"/>
  <c r="S16" i="34" s="1"/>
  <c r="T16" i="34" s="1"/>
  <c r="U16" i="34" s="1"/>
  <c r="V16" i="34" s="1"/>
  <c r="W16" i="34" s="1"/>
  <c r="X16" i="34" s="1"/>
  <c r="Y16" i="34" s="1"/>
  <c r="Z16" i="34" s="1"/>
  <c r="AA16" i="34" s="1"/>
  <c r="P14" i="34"/>
  <c r="Q14" i="34" s="1"/>
  <c r="R14" i="34" s="1"/>
  <c r="S14" i="34" s="1"/>
  <c r="T14" i="34" s="1"/>
  <c r="U14" i="34" s="1"/>
  <c r="V14" i="34" s="1"/>
  <c r="W14" i="34" s="1"/>
  <c r="X14" i="34" s="1"/>
  <c r="Y14" i="34" s="1"/>
  <c r="Z14" i="34" s="1"/>
  <c r="AA14" i="34" s="1"/>
  <c r="P13" i="34"/>
  <c r="Q13" i="34" s="1"/>
  <c r="R13" i="34" s="1"/>
  <c r="S13" i="34" s="1"/>
  <c r="T13" i="34" s="1"/>
  <c r="U13" i="34" s="1"/>
  <c r="V13" i="34" s="1"/>
  <c r="W13" i="34" s="1"/>
  <c r="X13" i="34" s="1"/>
  <c r="Y13" i="34" s="1"/>
  <c r="Z13" i="34" s="1"/>
  <c r="AA13" i="34" s="1"/>
  <c r="P12" i="34"/>
  <c r="Q12" i="34" s="1"/>
  <c r="R12" i="34" s="1"/>
  <c r="S12" i="34" s="1"/>
  <c r="T12" i="34" s="1"/>
  <c r="U12" i="34" s="1"/>
  <c r="V12" i="34" s="1"/>
  <c r="W12" i="34" s="1"/>
  <c r="X12" i="34" s="1"/>
  <c r="Y12" i="34" s="1"/>
  <c r="Z12" i="34" s="1"/>
  <c r="AA12" i="34" s="1"/>
  <c r="AA10" i="34"/>
  <c r="Z10" i="34"/>
  <c r="Y10" i="34"/>
  <c r="X10" i="34"/>
  <c r="W10" i="34"/>
  <c r="V10" i="34"/>
  <c r="U10" i="34"/>
  <c r="T10" i="34"/>
  <c r="S10" i="34"/>
  <c r="R10" i="34"/>
  <c r="Q10" i="34"/>
  <c r="P10" i="34"/>
  <c r="P9" i="34"/>
  <c r="Q9" i="34" s="1"/>
  <c r="R9" i="34" s="1"/>
  <c r="S9" i="34" s="1"/>
  <c r="T9" i="34" s="1"/>
  <c r="U9" i="34" s="1"/>
  <c r="V9" i="34" s="1"/>
  <c r="W9" i="34" s="1"/>
  <c r="X9" i="34" s="1"/>
  <c r="Y9" i="34" s="1"/>
  <c r="Z9" i="34" s="1"/>
  <c r="AA9" i="34" s="1"/>
  <c r="P8" i="34"/>
  <c r="Q8" i="34" s="1"/>
  <c r="R8" i="34" s="1"/>
  <c r="S8" i="34" s="1"/>
  <c r="T8" i="34" s="1"/>
  <c r="U8" i="34" s="1"/>
  <c r="V8" i="34" s="1"/>
  <c r="W8" i="34" s="1"/>
  <c r="X8" i="34" s="1"/>
  <c r="Y8" i="34" s="1"/>
  <c r="Z8" i="34" s="1"/>
  <c r="AA8" i="34" s="1"/>
  <c r="P7" i="34"/>
  <c r="Q7" i="34" s="1"/>
  <c r="R7" i="34" s="1"/>
  <c r="S7" i="34" s="1"/>
  <c r="T7" i="34" s="1"/>
  <c r="U7" i="34" s="1"/>
  <c r="V7" i="34" s="1"/>
  <c r="W7" i="34" s="1"/>
  <c r="X7" i="34" s="1"/>
  <c r="Y7" i="34" s="1"/>
  <c r="Z7" i="34" s="1"/>
  <c r="AA7" i="34" s="1"/>
  <c r="P6" i="34"/>
  <c r="Q6" i="34" s="1"/>
  <c r="R6" i="34" s="1"/>
  <c r="S6" i="34" s="1"/>
  <c r="T6" i="34" s="1"/>
  <c r="U6" i="34" s="1"/>
  <c r="V6" i="34" s="1"/>
  <c r="W6" i="34" s="1"/>
  <c r="X6" i="34" s="1"/>
  <c r="Y6" i="34" s="1"/>
  <c r="Z6" i="34" s="1"/>
  <c r="AA6" i="34" s="1"/>
  <c r="P137" i="34"/>
  <c r="P139" i="34"/>
  <c r="Q133" i="34"/>
  <c r="P131" i="34"/>
  <c r="P130" i="34"/>
  <c r="Q137" i="34" l="1"/>
  <c r="R137" i="34" s="1"/>
  <c r="S137" i="34" s="1"/>
  <c r="T137" i="34" s="1"/>
  <c r="Q28" i="34"/>
  <c r="R28" i="34" s="1"/>
  <c r="S28" i="34" s="1"/>
  <c r="T28" i="34" s="1"/>
  <c r="U28" i="34" s="1"/>
  <c r="V28" i="34" s="1"/>
  <c r="W28" i="34" s="1"/>
  <c r="X28" i="34" s="1"/>
  <c r="Y28" i="34" s="1"/>
  <c r="Z28" i="34" s="1"/>
  <c r="AA28" i="34" s="1"/>
  <c r="P25" i="34"/>
  <c r="Q25" i="34" s="1"/>
  <c r="R25" i="34" s="1"/>
  <c r="S25" i="34" s="1"/>
  <c r="T25" i="34" s="1"/>
  <c r="U25" i="34" s="1"/>
  <c r="V25" i="34" s="1"/>
  <c r="W25" i="34" s="1"/>
  <c r="X25" i="34" s="1"/>
  <c r="Y25" i="34" s="1"/>
  <c r="Z25" i="34" s="1"/>
  <c r="AA25" i="34" s="1"/>
  <c r="Q131" i="34"/>
  <c r="R131" i="34" s="1"/>
  <c r="S131" i="34" s="1"/>
  <c r="T131" i="34" s="1"/>
  <c r="U131" i="34" s="1"/>
  <c r="V131" i="34" s="1"/>
  <c r="W131" i="34" s="1"/>
  <c r="X131" i="34" s="1"/>
  <c r="Y131" i="34" s="1"/>
  <c r="Z131" i="34" s="1"/>
  <c r="AA131" i="34" s="1"/>
  <c r="Q130" i="34"/>
  <c r="R130" i="34" s="1"/>
  <c r="S130" i="34" s="1"/>
  <c r="T130" i="34" s="1"/>
  <c r="U130" i="34" s="1"/>
  <c r="V130" i="34" s="1"/>
  <c r="W130" i="34" s="1"/>
  <c r="X130" i="34" s="1"/>
  <c r="Y130" i="34" s="1"/>
  <c r="Z130" i="34" s="1"/>
  <c r="AA130" i="34" s="1"/>
  <c r="R133" i="34"/>
  <c r="S133" i="34" s="1"/>
  <c r="T133" i="34" s="1"/>
  <c r="U133" i="34" s="1"/>
  <c r="V133" i="34" s="1"/>
  <c r="W133" i="34" s="1"/>
  <c r="X133" i="34" s="1"/>
  <c r="Y133" i="34" s="1"/>
  <c r="Z133" i="34" s="1"/>
  <c r="AA133" i="34" s="1"/>
  <c r="P132" i="34"/>
  <c r="Q132" i="34" s="1"/>
  <c r="Q139" i="34"/>
  <c r="R139" i="34" s="1"/>
  <c r="S139" i="34" s="1"/>
  <c r="T139" i="34" s="1"/>
  <c r="U139" i="34" s="1"/>
  <c r="V139" i="34" s="1"/>
  <c r="W139" i="34" s="1"/>
  <c r="X139" i="34" s="1"/>
  <c r="Y139" i="34" s="1"/>
  <c r="Z139" i="34" s="1"/>
  <c r="AA139" i="34" s="1"/>
  <c r="P54" i="34"/>
  <c r="P53" i="34"/>
  <c r="Q53" i="34" s="1"/>
  <c r="R53" i="34" s="1"/>
  <c r="S53" i="34" s="1"/>
  <c r="T53" i="34" s="1"/>
  <c r="U53" i="34" s="1"/>
  <c r="V53" i="34" s="1"/>
  <c r="W53" i="34" s="1"/>
  <c r="X53" i="34" s="1"/>
  <c r="Y53" i="34" s="1"/>
  <c r="Z53" i="34" s="1"/>
  <c r="AA53" i="34" s="1"/>
  <c r="P140" i="34"/>
  <c r="R132" i="34" l="1"/>
  <c r="S132" i="34" s="1"/>
  <c r="T132" i="34" s="1"/>
  <c r="U132" i="34" s="1"/>
  <c r="V132" i="34" s="1"/>
  <c r="W132" i="34" s="1"/>
  <c r="X132" i="34" s="1"/>
  <c r="Y132" i="34" s="1"/>
  <c r="Z132" i="34" s="1"/>
  <c r="AA132" i="34" s="1"/>
  <c r="Q140" i="34"/>
  <c r="S140" i="34"/>
  <c r="R140" i="34"/>
  <c r="Q54" i="34"/>
  <c r="R54" i="34" s="1"/>
  <c r="S54" i="34" s="1"/>
  <c r="T54" i="34" s="1"/>
  <c r="U54" i="34" s="1"/>
  <c r="V54" i="34" s="1"/>
  <c r="W54" i="34" s="1"/>
  <c r="X54" i="34" s="1"/>
  <c r="Y54" i="34" s="1"/>
  <c r="Z54" i="34" s="1"/>
  <c r="AA54" i="34" s="1"/>
  <c r="U137" i="34"/>
  <c r="T140" i="34"/>
  <c r="U140" i="34" l="1"/>
  <c r="V137" i="34"/>
  <c r="W137" i="34" l="1"/>
  <c r="V140" i="34"/>
  <c r="W140" i="34" l="1"/>
  <c r="X137" i="34"/>
  <c r="X140" i="34" l="1"/>
  <c r="Y137" i="34"/>
  <c r="Z137" i="34" l="1"/>
  <c r="Y140" i="34"/>
  <c r="AA137" i="34" l="1"/>
  <c r="AA140" i="34" s="1"/>
  <c r="Z140" i="34"/>
  <c r="D27" i="40" l="1"/>
  <c r="F27" i="40" l="1"/>
  <c r="D24" i="40" l="1"/>
  <c r="E24" i="40"/>
  <c r="F24" i="40"/>
  <c r="G24" i="40"/>
  <c r="H24" i="40"/>
  <c r="I24" i="40"/>
  <c r="J24" i="40"/>
  <c r="D26" i="40"/>
  <c r="E26" i="40"/>
  <c r="F26" i="40"/>
  <c r="O24" i="40" l="1"/>
  <c r="P10" i="39" l="1"/>
  <c r="O28" i="40"/>
  <c r="D28" i="40"/>
  <c r="E28" i="40"/>
  <c r="F28" i="40"/>
  <c r="G28" i="40"/>
  <c r="H28" i="40"/>
  <c r="N28" i="40"/>
  <c r="M28" i="40" l="1"/>
  <c r="L28" i="40"/>
  <c r="K28" i="40"/>
  <c r="J28" i="40"/>
  <c r="I28" i="40"/>
  <c r="N24" i="40" l="1"/>
  <c r="O10" i="39" l="1"/>
  <c r="N10" i="39" l="1"/>
  <c r="M24" i="40" l="1"/>
  <c r="L24" i="40" l="1"/>
  <c r="M10" i="39" l="1"/>
  <c r="I10" i="39" l="1"/>
  <c r="J10" i="39"/>
  <c r="K10" i="39"/>
  <c r="L10" i="39"/>
  <c r="K24" i="40"/>
  <c r="M21" i="30" l="1"/>
  <c r="L21" i="30"/>
  <c r="K21" i="30"/>
  <c r="J21" i="30"/>
  <c r="I21" i="30"/>
  <c r="H21" i="30"/>
  <c r="G21" i="30"/>
  <c r="F21" i="30"/>
  <c r="E21" i="30"/>
  <c r="D21" i="30"/>
  <c r="M20" i="30"/>
  <c r="L20" i="30"/>
  <c r="K20" i="30"/>
  <c r="J20" i="30"/>
  <c r="I20" i="30"/>
  <c r="H20" i="30"/>
  <c r="G20" i="30"/>
  <c r="F20" i="30"/>
  <c r="E20" i="30"/>
  <c r="D20" i="30"/>
  <c r="M19" i="30"/>
  <c r="L19" i="30"/>
  <c r="K19" i="30"/>
  <c r="J19" i="30"/>
  <c r="I19" i="30"/>
  <c r="H19" i="30"/>
  <c r="G19" i="30"/>
  <c r="F19" i="30"/>
  <c r="E19" i="30"/>
  <c r="D19" i="30"/>
  <c r="C21" i="30"/>
  <c r="C20" i="30"/>
  <c r="B21" i="30"/>
  <c r="B20" i="30"/>
  <c r="B19" i="30"/>
  <c r="I23" i="30" l="1"/>
  <c r="L23" i="30"/>
  <c r="N20" i="30"/>
  <c r="H23" i="30"/>
  <c r="M23" i="30"/>
  <c r="D23" i="30"/>
  <c r="J23" i="30"/>
  <c r="K23" i="30"/>
  <c r="F23" i="30"/>
  <c r="G23" i="30"/>
  <c r="E23" i="30"/>
  <c r="B23" i="30"/>
  <c r="N21" i="30"/>
  <c r="C19" i="30"/>
  <c r="C23" i="30" s="1"/>
  <c r="N19" i="30" l="1"/>
  <c r="N23" i="30"/>
  <c r="A65" i="34" l="1"/>
  <c r="A64" i="34"/>
  <c r="H3" i="20" l="1"/>
  <c r="T51" i="30" l="1"/>
  <c r="H211" i="20"/>
  <c r="J3" i="20"/>
  <c r="T52" i="30" l="1"/>
  <c r="I211" i="20"/>
  <c r="K3" i="20"/>
  <c r="T53" i="30" l="1"/>
  <c r="J211" i="20"/>
  <c r="L3" i="20"/>
  <c r="R244" i="20"/>
  <c r="T54" i="30" l="1"/>
  <c r="K211" i="20"/>
  <c r="M3" i="20"/>
  <c r="L211" i="20" l="1"/>
  <c r="T55" i="30"/>
  <c r="I11" i="39"/>
  <c r="N3" i="20"/>
  <c r="T56" i="30" l="1"/>
  <c r="M211" i="20"/>
  <c r="J11" i="39"/>
  <c r="O3" i="20"/>
  <c r="T57" i="30" l="1"/>
  <c r="N211" i="20"/>
  <c r="K9" i="39"/>
  <c r="K11" i="39" s="1"/>
  <c r="P3" i="20"/>
  <c r="T58" i="30" l="1"/>
  <c r="O211" i="20"/>
  <c r="L9" i="39"/>
  <c r="L11" i="39" s="1"/>
  <c r="Q3" i="20"/>
  <c r="P211" i="20" l="1"/>
  <c r="T59" i="30"/>
  <c r="M11" i="39"/>
  <c r="R3" i="20"/>
  <c r="Q244" i="20"/>
  <c r="Q221" i="20"/>
  <c r="T60" i="30" l="1"/>
  <c r="Q211" i="20"/>
  <c r="N11" i="39"/>
  <c r="O9" i="39" l="1"/>
  <c r="O11" i="39" s="1"/>
  <c r="P244" i="20" l="1"/>
  <c r="O244" i="20" l="1"/>
  <c r="N244" i="20" l="1"/>
  <c r="N225" i="20"/>
  <c r="M244" i="20" l="1"/>
  <c r="L244" i="20" l="1"/>
  <c r="S213" i="20"/>
  <c r="S234" i="20"/>
  <c r="S235" i="20"/>
  <c r="S236" i="20"/>
  <c r="S237" i="20" l="1"/>
  <c r="S241" i="20" s="1"/>
  <c r="S240" i="20" l="1"/>
  <c r="K244" i="20" l="1"/>
  <c r="J221" i="20" l="1"/>
  <c r="J244" i="20"/>
  <c r="J224" i="20" l="1"/>
  <c r="S221" i="20"/>
  <c r="I244" i="20" l="1"/>
  <c r="C24" i="16" l="1"/>
  <c r="D24" i="16"/>
  <c r="E24" i="16"/>
  <c r="F24" i="16"/>
  <c r="G24" i="16"/>
  <c r="H24" i="16"/>
  <c r="I24" i="16"/>
  <c r="J24" i="16"/>
  <c r="K24" i="16"/>
  <c r="L24" i="16"/>
  <c r="M24" i="16"/>
  <c r="B24" i="16"/>
  <c r="C19" i="16"/>
  <c r="D19" i="16"/>
  <c r="E19" i="16"/>
  <c r="F19" i="16"/>
  <c r="G19" i="16"/>
  <c r="H19" i="16"/>
  <c r="I19" i="16"/>
  <c r="J19" i="16"/>
  <c r="K19" i="16"/>
  <c r="L19" i="16"/>
  <c r="M19" i="16"/>
  <c r="B19" i="16"/>
  <c r="C14" i="16"/>
  <c r="D14" i="16"/>
  <c r="E14" i="16"/>
  <c r="F14" i="16"/>
  <c r="G14" i="16"/>
  <c r="H14" i="16"/>
  <c r="I14" i="16"/>
  <c r="J14" i="16"/>
  <c r="K14" i="16"/>
  <c r="L14" i="16"/>
  <c r="M14" i="16"/>
  <c r="B14" i="16"/>
  <c r="C9" i="16"/>
  <c r="D9" i="16"/>
  <c r="E9" i="16"/>
  <c r="F9" i="16"/>
  <c r="G9" i="16"/>
  <c r="H9" i="16"/>
  <c r="I9" i="16"/>
  <c r="J9" i="16"/>
  <c r="K9" i="16"/>
  <c r="L9" i="16"/>
  <c r="M9" i="16"/>
  <c r="B9" i="16"/>
  <c r="C4" i="16"/>
  <c r="D4" i="16"/>
  <c r="E4" i="16"/>
  <c r="F4" i="16"/>
  <c r="G4" i="16"/>
  <c r="H4" i="16"/>
  <c r="I4" i="16"/>
  <c r="J4" i="16"/>
  <c r="K4" i="16"/>
  <c r="L4" i="16"/>
  <c r="M4" i="16"/>
  <c r="B4" i="16"/>
  <c r="M44" i="30" l="1"/>
  <c r="L44" i="30"/>
  <c r="M43" i="30"/>
  <c r="L43" i="30"/>
  <c r="M42" i="30"/>
  <c r="L42" i="30"/>
  <c r="K42" i="30"/>
  <c r="J42" i="30"/>
  <c r="G42" i="30"/>
  <c r="F42" i="30"/>
  <c r="I42" i="30"/>
  <c r="H42" i="30"/>
  <c r="E44" i="30"/>
  <c r="D43" i="30"/>
  <c r="C43" i="30"/>
  <c r="B44" i="30"/>
  <c r="M46" i="30" l="1"/>
  <c r="L46" i="30"/>
  <c r="G43" i="30"/>
  <c r="K43" i="30"/>
  <c r="B42" i="30"/>
  <c r="C42" i="30"/>
  <c r="D42" i="30"/>
  <c r="E42" i="30"/>
  <c r="H43" i="30"/>
  <c r="I43" i="30"/>
  <c r="F43" i="30"/>
  <c r="J43" i="30"/>
  <c r="B43" i="30"/>
  <c r="E43" i="30"/>
  <c r="C44" i="30"/>
  <c r="D44" i="30"/>
  <c r="F44" i="30"/>
  <c r="G44" i="30"/>
  <c r="H44" i="30"/>
  <c r="I44" i="30"/>
  <c r="J44" i="30"/>
  <c r="K44" i="30"/>
  <c r="K46" i="30" l="1"/>
  <c r="I46" i="30"/>
  <c r="G46" i="30"/>
  <c r="H46" i="30"/>
  <c r="C46" i="30"/>
  <c r="F46" i="30"/>
  <c r="N44" i="30"/>
  <c r="J46" i="30"/>
  <c r="N43" i="30"/>
  <c r="E46" i="30"/>
  <c r="B46" i="30"/>
  <c r="N42" i="30"/>
  <c r="D46" i="30"/>
  <c r="N46" i="30" l="1"/>
  <c r="N140" i="34" l="1"/>
  <c r="M140" i="34" l="1"/>
  <c r="L140" i="34"/>
  <c r="K140" i="34"/>
  <c r="J140" i="34"/>
  <c r="I140" i="34"/>
  <c r="H140" i="34"/>
  <c r="G140" i="34"/>
  <c r="F140" i="34"/>
  <c r="E140" i="34"/>
  <c r="D140" i="34"/>
  <c r="C140" i="34"/>
  <c r="B140" i="34"/>
  <c r="R227" i="20" l="1"/>
  <c r="R225" i="20"/>
  <c r="R223" i="20"/>
  <c r="R226" i="20" s="1"/>
  <c r="N237" i="20" l="1"/>
  <c r="J225" i="20"/>
  <c r="H225" i="20"/>
  <c r="G225" i="20"/>
  <c r="O223" i="20"/>
  <c r="O226" i="20" s="1"/>
  <c r="P223" i="20"/>
  <c r="P226" i="20" s="1"/>
  <c r="Q223" i="20"/>
  <c r="Q226" i="20" s="1"/>
  <c r="O224" i="20"/>
  <c r="O227" i="20" s="1"/>
  <c r="P227" i="20"/>
  <c r="Q224" i="20"/>
  <c r="Q227" i="20" s="1"/>
  <c r="O225" i="20"/>
  <c r="P225" i="20"/>
  <c r="Q225" i="20"/>
  <c r="R229" i="20"/>
  <c r="Q237" i="20"/>
  <c r="H237" i="20"/>
  <c r="I237" i="20"/>
  <c r="J237" i="20"/>
  <c r="K237" i="20"/>
  <c r="L237" i="20"/>
  <c r="M237" i="20"/>
  <c r="O237" i="20"/>
  <c r="P237" i="20"/>
  <c r="G237" i="20"/>
  <c r="M37" i="16"/>
  <c r="O29" i="10"/>
  <c r="O28" i="10"/>
  <c r="O27" i="10"/>
  <c r="O12" i="10"/>
  <c r="O8" i="10"/>
  <c r="O9" i="10"/>
  <c r="O23" i="10"/>
  <c r="O24" i="10"/>
  <c r="O25" i="10"/>
  <c r="O26" i="10"/>
  <c r="L37" i="16"/>
  <c r="K37" i="16"/>
  <c r="J37" i="16"/>
  <c r="D37" i="16"/>
  <c r="H37" i="16"/>
  <c r="E37" i="16"/>
  <c r="I37" i="16"/>
  <c r="F37" i="16"/>
  <c r="C37" i="16"/>
  <c r="G37" i="16"/>
  <c r="O44" i="10"/>
  <c r="G47" i="10"/>
  <c r="G18" i="10"/>
  <c r="F47" i="10"/>
  <c r="F41" i="10"/>
  <c r="O35" i="10"/>
  <c r="E33" i="10"/>
  <c r="O50" i="10"/>
  <c r="O49" i="10"/>
  <c r="O46" i="10"/>
  <c r="O40" i="10"/>
  <c r="O16" i="10"/>
  <c r="O15" i="10"/>
  <c r="O11" i="10"/>
  <c r="O5" i="10"/>
  <c r="N18" i="10"/>
  <c r="M18" i="10"/>
  <c r="L18" i="10"/>
  <c r="K18" i="10"/>
  <c r="J18" i="10"/>
  <c r="I18" i="10"/>
  <c r="H18" i="10"/>
  <c r="E18" i="10"/>
  <c r="D18" i="10"/>
  <c r="O45" i="10"/>
  <c r="O38" i="10"/>
  <c r="E47" i="10"/>
  <c r="H47" i="10"/>
  <c r="I47" i="10"/>
  <c r="J47" i="10"/>
  <c r="K47" i="10"/>
  <c r="L47" i="10"/>
  <c r="M47" i="10"/>
  <c r="N47" i="10"/>
  <c r="D41" i="10"/>
  <c r="E41" i="10"/>
  <c r="H41" i="10"/>
  <c r="I41" i="10"/>
  <c r="J41" i="10"/>
  <c r="K41" i="10"/>
  <c r="L41" i="10"/>
  <c r="M41" i="10"/>
  <c r="N41" i="10"/>
  <c r="C41" i="10"/>
  <c r="H33" i="10"/>
  <c r="I33" i="10"/>
  <c r="J33" i="10"/>
  <c r="K33" i="10"/>
  <c r="L33" i="10"/>
  <c r="M33" i="10"/>
  <c r="N33" i="10"/>
  <c r="D47" i="10"/>
  <c r="D33" i="10"/>
  <c r="O32" i="10"/>
  <c r="F18" i="10"/>
  <c r="G33" i="10"/>
  <c r="G41" i="10"/>
  <c r="C18" i="10"/>
  <c r="C33" i="10"/>
  <c r="O31" i="10"/>
  <c r="C47" i="10"/>
  <c r="O43" i="10"/>
  <c r="O39" i="10"/>
  <c r="F33" i="10"/>
  <c r="E36" i="16"/>
  <c r="P229" i="20" l="1"/>
  <c r="G240" i="20"/>
  <c r="I240" i="20"/>
  <c r="R241" i="20"/>
  <c r="M36" i="16"/>
  <c r="C36" i="16"/>
  <c r="N52" i="10"/>
  <c r="N59" i="10" s="1"/>
  <c r="N61" i="10" s="1"/>
  <c r="G52" i="10"/>
  <c r="G59" i="10" s="1"/>
  <c r="G61" i="10" s="1"/>
  <c r="L36" i="16"/>
  <c r="C52" i="10"/>
  <c r="C59" i="10" s="1"/>
  <c r="C61" i="10" s="1"/>
  <c r="I36" i="16"/>
  <c r="G36" i="16"/>
  <c r="D52" i="10"/>
  <c r="D59" i="10" s="1"/>
  <c r="D61" i="10" s="1"/>
  <c r="J52" i="10"/>
  <c r="J59" i="10" s="1"/>
  <c r="J61" i="10" s="1"/>
  <c r="K52" i="10"/>
  <c r="K59" i="10" s="1"/>
  <c r="K61" i="10" s="1"/>
  <c r="J36" i="16"/>
  <c r="M52" i="10"/>
  <c r="M59" i="10" s="1"/>
  <c r="M61" i="10" s="1"/>
  <c r="I52" i="10"/>
  <c r="I59" i="10" s="1"/>
  <c r="I61" i="10" s="1"/>
  <c r="H36" i="16"/>
  <c r="D36" i="16"/>
  <c r="E52" i="10"/>
  <c r="E59" i="10" s="1"/>
  <c r="E61" i="10" s="1"/>
  <c r="O47" i="10"/>
  <c r="K36" i="16"/>
  <c r="F52" i="10"/>
  <c r="F59" i="10" s="1"/>
  <c r="F61" i="10" s="1"/>
  <c r="O33" i="10"/>
  <c r="O18" i="10"/>
  <c r="O41" i="10"/>
  <c r="L52" i="10"/>
  <c r="L59" i="10" s="1"/>
  <c r="L61" i="10" s="1"/>
  <c r="H52" i="10"/>
  <c r="H59" i="10" s="1"/>
  <c r="H61" i="10" s="1"/>
  <c r="B36" i="16"/>
  <c r="F36" i="16"/>
  <c r="Q241" i="20"/>
  <c r="Q240" i="20"/>
  <c r="Q229" i="20"/>
  <c r="I227" i="20"/>
  <c r="G238" i="20"/>
  <c r="H238" i="20" s="1"/>
  <c r="I238" i="20" s="1"/>
  <c r="J238" i="20" s="1"/>
  <c r="I225" i="20"/>
  <c r="L225" i="20"/>
  <c r="N24" i="16"/>
  <c r="C32" i="16" s="1"/>
  <c r="N19" i="16"/>
  <c r="C31" i="16" s="1"/>
  <c r="L240" i="20"/>
  <c r="L241" i="20"/>
  <c r="H241" i="20"/>
  <c r="H240" i="20"/>
  <c r="H227" i="20"/>
  <c r="O240" i="20"/>
  <c r="O241" i="20"/>
  <c r="L229" i="20"/>
  <c r="L223" i="20"/>
  <c r="L226" i="20" s="1"/>
  <c r="M240" i="20"/>
  <c r="M241" i="20"/>
  <c r="J240" i="20"/>
  <c r="J241" i="20"/>
  <c r="P240" i="20"/>
  <c r="P241" i="20"/>
  <c r="I241" i="20"/>
  <c r="H223" i="20"/>
  <c r="H226" i="20" s="1"/>
  <c r="G241" i="20"/>
  <c r="K240" i="20"/>
  <c r="K241" i="20"/>
  <c r="N240" i="20"/>
  <c r="N241" i="20"/>
  <c r="M224" i="20"/>
  <c r="M227" i="20" s="1"/>
  <c r="G223" i="20"/>
  <c r="G226" i="20" s="1"/>
  <c r="G224" i="20"/>
  <c r="G227" i="20" s="1"/>
  <c r="J223" i="20"/>
  <c r="J226" i="20" s="1"/>
  <c r="G231" i="20"/>
  <c r="H231" i="20" s="1"/>
  <c r="I231" i="20" s="1"/>
  <c r="J231" i="20" s="1"/>
  <c r="K231" i="20" s="1"/>
  <c r="L231" i="20" s="1"/>
  <c r="M231" i="20" s="1"/>
  <c r="N231" i="20" s="1"/>
  <c r="O231" i="20" s="1"/>
  <c r="P231" i="20" s="1"/>
  <c r="Q231" i="20" s="1"/>
  <c r="R231" i="20" s="1"/>
  <c r="N226" i="20"/>
  <c r="N25" i="16"/>
  <c r="D32" i="16" s="1"/>
  <c r="B37" i="16"/>
  <c r="I223" i="20"/>
  <c r="I226" i="20" s="1"/>
  <c r="J227" i="20"/>
  <c r="K225" i="20"/>
  <c r="K223" i="20"/>
  <c r="K226" i="20" s="1"/>
  <c r="K224" i="20"/>
  <c r="K227" i="20" s="1"/>
  <c r="M223" i="20"/>
  <c r="M226" i="20" s="1"/>
  <c r="M225" i="20"/>
  <c r="N224" i="20"/>
  <c r="N227" i="20" s="1"/>
  <c r="O229" i="20"/>
  <c r="N5" i="16"/>
  <c r="N4" i="16"/>
  <c r="N15" i="16"/>
  <c r="D30" i="16" s="1"/>
  <c r="N10" i="16"/>
  <c r="D29" i="16" s="1"/>
  <c r="N14" i="16"/>
  <c r="C30" i="16" s="1"/>
  <c r="N20" i="16"/>
  <c r="D31" i="16" s="1"/>
  <c r="N9" i="16"/>
  <c r="C29" i="16" s="1"/>
  <c r="I229" i="20" l="1"/>
  <c r="K238" i="20"/>
  <c r="L238" i="20" s="1"/>
  <c r="M238" i="20" s="1"/>
  <c r="N238" i="20" s="1"/>
  <c r="O238" i="20" s="1"/>
  <c r="P238" i="20" s="1"/>
  <c r="Q238" i="20" s="1"/>
  <c r="R238" i="20" s="1"/>
  <c r="C54" i="10"/>
  <c r="D5" i="10" s="1"/>
  <c r="D54" i="10" s="1"/>
  <c r="O52" i="10"/>
  <c r="O54" i="10" s="1"/>
  <c r="N229" i="20"/>
  <c r="K229" i="20"/>
  <c r="J229" i="20"/>
  <c r="G229" i="20"/>
  <c r="M229" i="20"/>
  <c r="H229" i="20"/>
  <c r="N36" i="16"/>
  <c r="N37" i="16"/>
  <c r="C56" i="10" l="1"/>
  <c r="D56" i="10"/>
  <c r="E5" i="10"/>
  <c r="E54" i="10" s="1"/>
  <c r="G230" i="20"/>
  <c r="H230" i="20" s="1"/>
  <c r="I230" i="20" s="1"/>
  <c r="I232" i="20" s="1"/>
  <c r="E56" i="10" l="1"/>
  <c r="F5" i="10"/>
  <c r="F54" i="10" s="1"/>
  <c r="J230" i="20"/>
  <c r="J232" i="20" s="1"/>
  <c r="H232" i="20"/>
  <c r="G232" i="20"/>
  <c r="F56" i="10" l="1"/>
  <c r="G5" i="10"/>
  <c r="G54" i="10" s="1"/>
  <c r="K230" i="20"/>
  <c r="G56" i="10" l="1"/>
  <c r="H5" i="10"/>
  <c r="H54" i="10" s="1"/>
  <c r="L230" i="20"/>
  <c r="K232" i="20"/>
  <c r="H56" i="10" l="1"/>
  <c r="I5" i="10"/>
  <c r="I54" i="10" s="1"/>
  <c r="M230" i="20"/>
  <c r="L232" i="20"/>
  <c r="I56" i="10" l="1"/>
  <c r="J5" i="10"/>
  <c r="J54" i="10" s="1"/>
  <c r="N230" i="20"/>
  <c r="M232" i="20"/>
  <c r="J56" i="10" l="1"/>
  <c r="K5" i="10"/>
  <c r="K54" i="10" s="1"/>
  <c r="O230" i="20"/>
  <c r="N232" i="20"/>
  <c r="L5" i="10" l="1"/>
  <c r="L54" i="10" s="1"/>
  <c r="K56" i="10"/>
  <c r="P230" i="20"/>
  <c r="O232" i="20"/>
  <c r="L56" i="10" l="1"/>
  <c r="M5" i="10"/>
  <c r="M54" i="10" s="1"/>
  <c r="Q230" i="20"/>
  <c r="P232" i="20"/>
  <c r="M56" i="10" l="1"/>
  <c r="N5" i="10"/>
  <c r="N54" i="10" s="1"/>
  <c r="N56" i="10" s="1"/>
  <c r="R230" i="20"/>
  <c r="R232" i="20" s="1"/>
  <c r="Q232" i="20"/>
  <c r="T37" i="30" l="1"/>
  <c r="T36" i="30"/>
  <c r="T35" i="30"/>
  <c r="T34" i="30"/>
  <c r="T33" i="30"/>
  <c r="Q213" i="20" l="1"/>
  <c r="J8" i="16" l="1"/>
  <c r="L3" i="16"/>
  <c r="I3" i="16"/>
  <c r="J16" i="28"/>
  <c r="K3" i="16"/>
  <c r="H16" i="28"/>
  <c r="I16" i="28"/>
  <c r="H3" i="16" l="1"/>
  <c r="J3" i="16"/>
  <c r="J35" i="16" s="1"/>
  <c r="I8" i="16"/>
  <c r="I35" i="16" s="1"/>
  <c r="L8" i="16"/>
  <c r="L35" i="16" s="1"/>
  <c r="K8" i="16"/>
  <c r="K35" i="16" s="1"/>
  <c r="H8" i="16" l="1"/>
  <c r="H35" i="16" s="1"/>
  <c r="P213" i="20"/>
  <c r="L13" i="16" l="1"/>
  <c r="L18" i="16"/>
  <c r="L23" i="16"/>
  <c r="O213" i="20"/>
  <c r="O215" i="20" s="1"/>
  <c r="N213" i="20" l="1"/>
  <c r="J7" i="28" l="1"/>
  <c r="K13" i="16"/>
  <c r="K23" i="16"/>
  <c r="K18" i="16"/>
  <c r="M213" i="20"/>
  <c r="J13" i="16" l="1"/>
  <c r="I7" i="28"/>
  <c r="J23" i="16"/>
  <c r="T32" i="30"/>
  <c r="J18" i="16" l="1"/>
  <c r="I13" i="16"/>
  <c r="H7" i="28"/>
  <c r="I18" i="16"/>
  <c r="I23" i="16" l="1"/>
  <c r="H23" i="16"/>
  <c r="T31" i="30"/>
  <c r="L213" i="20"/>
  <c r="G16" i="28"/>
  <c r="H13" i="16" l="1"/>
  <c r="G3" i="16"/>
  <c r="G7" i="28"/>
  <c r="H18" i="16" l="1"/>
  <c r="G8" i="16"/>
  <c r="G35" i="16" s="1"/>
  <c r="T30" i="30"/>
  <c r="F8" i="16"/>
  <c r="F16" i="28"/>
  <c r="F3" i="16"/>
  <c r="K213" i="20"/>
  <c r="F7" i="28" l="1"/>
  <c r="F35" i="16"/>
  <c r="T29" i="30"/>
  <c r="G13" i="16" l="1"/>
  <c r="G18" i="16"/>
  <c r="J213" i="20"/>
  <c r="G23" i="16"/>
  <c r="I213" i="20"/>
  <c r="I215" i="20" s="1"/>
  <c r="F13" i="16" l="1"/>
  <c r="E8" i="16"/>
  <c r="E16" i="28"/>
  <c r="D8" i="16"/>
  <c r="D3" i="16"/>
  <c r="F23" i="16"/>
  <c r="E3" i="16"/>
  <c r="E7" i="28"/>
  <c r="F18" i="16" l="1"/>
  <c r="D16" i="28"/>
  <c r="D35" i="16"/>
  <c r="E35" i="16"/>
  <c r="T27" i="30"/>
  <c r="Q215" i="20"/>
  <c r="D7" i="28" l="1"/>
  <c r="E18" i="16"/>
  <c r="E13" i="16"/>
  <c r="E23" i="16"/>
  <c r="G213" i="20"/>
  <c r="G215" i="20" s="1"/>
  <c r="D13" i="16" l="1"/>
  <c r="D18" i="16"/>
  <c r="D23" i="16" l="1"/>
  <c r="B16" i="28"/>
  <c r="B3" i="16"/>
  <c r="B8" i="16" l="1"/>
  <c r="B7" i="28"/>
  <c r="B35" i="16" l="1"/>
  <c r="B13" i="16" l="1"/>
  <c r="K215" i="20"/>
  <c r="L215" i="20"/>
  <c r="P215" i="20"/>
  <c r="M215" i="20"/>
  <c r="J215" i="20"/>
  <c r="N215" i="20"/>
  <c r="B18" i="16" l="1"/>
  <c r="B23" i="16" l="1"/>
  <c r="T28" i="30" l="1"/>
  <c r="H213" i="20" l="1"/>
  <c r="H215" i="20" s="1"/>
  <c r="C7" i="28" l="1"/>
  <c r="C3" i="16"/>
  <c r="C16" i="28"/>
  <c r="C8" i="16" l="1"/>
  <c r="C35" i="16" l="1"/>
  <c r="C13" i="16" l="1"/>
  <c r="C18" i="16" l="1"/>
  <c r="C23" i="16" l="1"/>
  <c r="T38" i="30" l="1"/>
  <c r="T61" i="30"/>
  <c r="R211" i="20"/>
  <c r="R213" i="20" l="1"/>
  <c r="R215" i="20" s="1"/>
  <c r="P9" i="39"/>
  <c r="P11" i="39" s="1"/>
  <c r="M3" i="16" l="1"/>
  <c r="N3" i="16" s="1"/>
  <c r="M8" i="16" l="1"/>
  <c r="M35" i="16" l="1"/>
  <c r="N8" i="16"/>
  <c r="N35" i="16" l="1"/>
  <c r="B29" i="16"/>
  <c r="M13" i="16" l="1"/>
  <c r="N13" i="16" s="1"/>
  <c r="B30" i="16" s="1"/>
  <c r="M18" i="16" l="1"/>
  <c r="N18" i="16" s="1"/>
  <c r="B31" i="16" s="1"/>
  <c r="M23" i="16" l="1"/>
  <c r="N23" i="16" s="1"/>
  <c r="B32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Crawford</author>
  </authors>
  <commentList>
    <comment ref="A1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Jonathan Crawford:</t>
        </r>
        <r>
          <rPr>
            <sz val="9"/>
            <color indexed="81"/>
            <rFont val="Tahoma"/>
            <family val="2"/>
          </rPr>
          <t xml:space="preserve">
Taken from budget 2019 'Net Revenue'</t>
        </r>
      </text>
    </comment>
    <comment ref="A1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Jonathan Crawford:</t>
        </r>
        <r>
          <rPr>
            <sz val="9"/>
            <color indexed="81"/>
            <rFont val="Tahoma"/>
            <family val="2"/>
          </rPr>
          <t xml:space="preserve">
Taken from Budget 2019 'Stock'</t>
        </r>
      </text>
    </comment>
    <comment ref="A13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Jonathan Crawford:</t>
        </r>
        <r>
          <rPr>
            <sz val="9"/>
            <color indexed="81"/>
            <rFont val="Tahoma"/>
            <family val="2"/>
          </rPr>
          <t xml:space="preserve">
Taken from Budget 2019 'Production Costs'</t>
        </r>
      </text>
    </comment>
    <comment ref="A13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Jonathan Crawford:</t>
        </r>
        <r>
          <rPr>
            <sz val="9"/>
            <color indexed="81"/>
            <rFont val="Tahoma"/>
            <family val="2"/>
          </rPr>
          <t xml:space="preserve">
Taken from budget 2019 'Net Revenue'</t>
        </r>
      </text>
    </comment>
    <comment ref="A1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Jonathan Crawford:</t>
        </r>
        <r>
          <rPr>
            <sz val="9"/>
            <color indexed="81"/>
            <rFont val="Tahoma"/>
            <family val="2"/>
          </rPr>
          <t xml:space="preserve">
Taken from Budget 2019 'Stock'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Mercer</author>
  </authors>
  <commentList>
    <comment ref="G21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Peter Mercer:</t>
        </r>
        <r>
          <rPr>
            <sz val="9"/>
            <color indexed="81"/>
            <rFont val="Tahoma"/>
            <family val="2"/>
          </rPr>
          <t xml:space="preserve">
Revenue per tonne for prime scrap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Mercer</author>
  </authors>
  <commentList>
    <comment ref="C28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Peter Mercer:</t>
        </r>
        <r>
          <rPr>
            <sz val="9"/>
            <color indexed="81"/>
            <rFont val="Tahoma"/>
            <family val="2"/>
          </rPr>
          <t xml:space="preserve">
Update formula monthly.</t>
        </r>
      </text>
    </comment>
    <comment ref="D28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Peter Mercer:</t>
        </r>
        <r>
          <rPr>
            <sz val="9"/>
            <color indexed="81"/>
            <rFont val="Tahoma"/>
            <family val="2"/>
          </rPr>
          <t xml:space="preserve">
Update link monthly.</t>
        </r>
      </text>
    </comment>
  </commentList>
</comments>
</file>

<file path=xl/sharedStrings.xml><?xml version="1.0" encoding="utf-8"?>
<sst xmlns="http://schemas.openxmlformats.org/spreadsheetml/2006/main" count="2681" uniqueCount="1079">
  <si>
    <t>SPARTAN UK LIMITED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</si>
  <si>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</si>
  <si>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</si>
  <si>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</si>
  <si>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</si>
  <si>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</si>
  <si>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</si>
  <si>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</si>
  <si>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</si>
  <si>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</si>
  <si>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</si>
  <si>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</si>
  <si>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</si>
  <si>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</si>
  <si>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£ '000</t>
  </si>
  <si>
    <t>REVENUE</t>
  </si>
  <si>
    <t xml:space="preserve">Net Plate Sales </t>
  </si>
  <si>
    <t>Transport</t>
  </si>
  <si>
    <t>Commissions</t>
  </si>
  <si>
    <t>Gross Revenue</t>
  </si>
  <si>
    <t>Av. Selling Price - £/t</t>
  </si>
  <si>
    <t xml:space="preserve">Scrap </t>
  </si>
  <si>
    <t>Other Revenue</t>
  </si>
  <si>
    <t>Total Other Revenues</t>
  </si>
  <si>
    <t>TOTAL REVENUE</t>
  </si>
  <si>
    <t>COST OF SALES</t>
  </si>
  <si>
    <t>Slab Cost</t>
  </si>
  <si>
    <t>Slab Cost - £/t</t>
  </si>
  <si>
    <t>Production Payroll</t>
  </si>
  <si>
    <t>Utilities</t>
  </si>
  <si>
    <t>Consumables</t>
  </si>
  <si>
    <t>External Services</t>
  </si>
  <si>
    <t>Maintenance</t>
  </si>
  <si>
    <t>Depreciation</t>
  </si>
  <si>
    <t>Plate Stock Variantion</t>
  </si>
  <si>
    <t>TOTAL COST OF SALES</t>
  </si>
  <si>
    <t>GROSS PROFIT / (LOSS)</t>
  </si>
  <si>
    <t>SELLING COSTS</t>
  </si>
  <si>
    <t>Agents Commission</t>
  </si>
  <si>
    <t>Insurance</t>
  </si>
  <si>
    <t>Sales Payroll</t>
  </si>
  <si>
    <t>ADMINISTRATION COSTS</t>
  </si>
  <si>
    <t>Administration Payroll</t>
  </si>
  <si>
    <t>Overheads</t>
  </si>
  <si>
    <t>OTHER OPERTING EXPENSE / (INCOME)</t>
  </si>
  <si>
    <t>OPERATING PROFIT / (LOSS)</t>
  </si>
  <si>
    <t>EBITDA</t>
  </si>
  <si>
    <t>FINANCE COSTS</t>
  </si>
  <si>
    <t>PROFIT BEFORE TAXATION</t>
  </si>
  <si>
    <t>TAXATION</t>
  </si>
  <si>
    <t>NET PROFIT / (LOSS)</t>
  </si>
  <si>
    <t>ACTUAL</t>
  </si>
  <si>
    <t>BUDGET</t>
  </si>
  <si>
    <t>Month</t>
  </si>
  <si>
    <t>YTD</t>
  </si>
  <si>
    <t>Scrap</t>
  </si>
  <si>
    <t>Select Month</t>
  </si>
  <si>
    <t>Select Year</t>
  </si>
  <si>
    <t>AS400 Code</t>
  </si>
  <si>
    <t>Description</t>
  </si>
  <si>
    <t>Accumulated Amortisation</t>
  </si>
  <si>
    <t>Stock</t>
  </si>
  <si>
    <t>Raw Materials - Azov</t>
  </si>
  <si>
    <t>Spare Parts</t>
  </si>
  <si>
    <t>Finished Goods</t>
  </si>
  <si>
    <t>Trade Debtors</t>
  </si>
  <si>
    <t>VAT</t>
  </si>
  <si>
    <t>Trade Creditors</t>
  </si>
  <si>
    <t>Taxes</t>
  </si>
  <si>
    <t>PAYE / NI</t>
  </si>
  <si>
    <t>Corporation Tax</t>
  </si>
  <si>
    <t>Deferred Tax</t>
  </si>
  <si>
    <t>Loans</t>
  </si>
  <si>
    <t>BNP Loan</t>
  </si>
  <si>
    <t>Intercompany loan</t>
  </si>
  <si>
    <t>Called up share capital</t>
  </si>
  <si>
    <t>Net profit (loss (-)) for the period</t>
  </si>
  <si>
    <t>Interest</t>
  </si>
  <si>
    <t>Domestic customers</t>
  </si>
  <si>
    <t>Foreign customers</t>
  </si>
  <si>
    <t>Other Income</t>
  </si>
  <si>
    <t>VAT Refund</t>
  </si>
  <si>
    <t>Supplier Payments</t>
  </si>
  <si>
    <t>RECEIPTS</t>
  </si>
  <si>
    <t>PAYMENTS</t>
  </si>
  <si>
    <t>Supplier Payments - UK</t>
  </si>
  <si>
    <t>Supplier Payments - Foreign</t>
  </si>
  <si>
    <t>Raw Materials - MISA</t>
  </si>
  <si>
    <t>Raw Materials - Trametal</t>
  </si>
  <si>
    <t>VAT - Slab clearance</t>
  </si>
  <si>
    <t>TOTAL RECEIPTS</t>
  </si>
  <si>
    <t>OPENING BALANCE</t>
  </si>
  <si>
    <t>CLOSING BALANCE</t>
  </si>
  <si>
    <t>Wages / Salaries</t>
  </si>
  <si>
    <t>Bank Interest</t>
  </si>
  <si>
    <t>TOTAL PAYMENTS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</si>
  <si>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</si>
  <si>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</si>
  <si>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</si>
  <si>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</si>
  <si>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</si>
  <si>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</si>
  <si>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</si>
  <si>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</si>
  <si>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</si>
  <si>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</si>
  <si>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</si>
  <si>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Production</t>
  </si>
  <si>
    <t>Consumption</t>
  </si>
  <si>
    <t>Yield</t>
  </si>
  <si>
    <t>Other Payroll</t>
  </si>
  <si>
    <t>Loan Repayment</t>
  </si>
  <si>
    <t>Plate Stock Variation</t>
  </si>
  <si>
    <t>Loan Drawdown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</si>
  <si>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</si>
  <si>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</si>
  <si>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</si>
  <si>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</si>
  <si>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</si>
  <si>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</si>
  <si>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</si>
  <si>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</si>
  <si>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</si>
  <si>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</si>
  <si>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</si>
  <si>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</si>
  <si>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Raw Materials - Arcelor Mittal</t>
  </si>
  <si>
    <t>Raw Materials - SSAB</t>
  </si>
  <si>
    <t>MONTHLY T/B</t>
  </si>
  <si>
    <t>Previous Month</t>
  </si>
  <si>
    <t>MISA Late Payment Interest</t>
  </si>
  <si>
    <t>Revenue</t>
  </si>
  <si>
    <t>Gross Profit</t>
  </si>
  <si>
    <t>Net Profit</t>
  </si>
  <si>
    <t>Operating Profit</t>
  </si>
  <si>
    <t>Actual</t>
  </si>
  <si>
    <t>Business Plan</t>
  </si>
  <si>
    <t>Prior Year</t>
  </si>
  <si>
    <t>Year</t>
  </si>
  <si>
    <t>Raw Materials - RUUKKI</t>
  </si>
  <si>
    <t>Total</t>
  </si>
  <si>
    <t>OXYGEN</t>
  </si>
  <si>
    <t>Gross Profit %</t>
  </si>
  <si>
    <t>Liquidity</t>
  </si>
  <si>
    <t>Per AS400</t>
  </si>
  <si>
    <t>Difference</t>
  </si>
  <si>
    <t>Raw Materials - SSI/STEMCOR</t>
  </si>
  <si>
    <t>Raw Materials - PROMET</t>
  </si>
  <si>
    <t>EBITDA (v. DGP)</t>
  </si>
  <si>
    <t>Net Profit (v. DGP)</t>
  </si>
  <si>
    <t>$ '000</t>
  </si>
  <si>
    <t>Sales</t>
  </si>
  <si>
    <t>TOTAL PRODUCTION COST £/ton</t>
  </si>
  <si>
    <t>CASHFLOW - 2013</t>
  </si>
  <si>
    <t>SCRAP SALES</t>
  </si>
  <si>
    <t>LOADING AND UNLOADING EXPENSES</t>
  </si>
  <si>
    <t>REPAIRS ON STEEL SHEETS</t>
  </si>
  <si>
    <t>STEEL SHEETS SANDBLASTING</t>
  </si>
  <si>
    <t>SPECIMEN/SAMPLES PREPARATION</t>
  </si>
  <si>
    <t>Net Sales</t>
  </si>
  <si>
    <t>GAS</t>
  </si>
  <si>
    <t>TRADED PRODUCT GROSS PROFIT</t>
  </si>
  <si>
    <t>Total Cost per Tonne</t>
  </si>
  <si>
    <t>Production Conversion Cost</t>
  </si>
  <si>
    <t>Scrap sales</t>
  </si>
  <si>
    <t>Non prime</t>
  </si>
  <si>
    <t>Scale</t>
  </si>
  <si>
    <t>Prime</t>
  </si>
  <si>
    <t>OTHER INCOMES</t>
  </si>
  <si>
    <t>Bad Debt</t>
  </si>
  <si>
    <t>Intangible Assets Cost</t>
  </si>
  <si>
    <t>Tangible Fixed Assets Cost</t>
  </si>
  <si>
    <t>FREE SUPPLIES</t>
  </si>
  <si>
    <t>Profit</t>
  </si>
  <si>
    <t>OPENING BALANCES PLATES FINISHED PRODUCT</t>
  </si>
  <si>
    <t>CLOSING BALANCES PLATES FINISHED PRODUCT</t>
  </si>
  <si>
    <t xml:space="preserve">OPENING BALANCES TRADING PLATES         </t>
  </si>
  <si>
    <t xml:space="preserve">CLOSING BALANCES TRADING PLATES         </t>
  </si>
  <si>
    <t xml:space="preserve">PLATES SALES OWN PROD. THIRD PARTIES    </t>
  </si>
  <si>
    <t xml:space="preserve">RETURN ON  GOODS PLATES SALES           </t>
  </si>
  <si>
    <t>REC. OUT. FREIGHT COST PLATES  (FREIGHT)</t>
  </si>
  <si>
    <t xml:space="preserve">REC. OUT. FREIGHT COST PLATES  (OTHERS) </t>
  </si>
  <si>
    <t>REC.COMMISSIONS ON PLATES SALES OWN PROD</t>
  </si>
  <si>
    <t>REC. OUT. FREIGHT COST  PLATES  (OTHERS)</t>
  </si>
  <si>
    <t xml:space="preserve">RECHARGE COMMISSIONS ON PLATES SALES    </t>
  </si>
  <si>
    <t xml:space="preserve">PLATES SALES OWN PRODUCTION TO FV       </t>
  </si>
  <si>
    <t xml:space="preserve">REC. OUT.FREIGHT COST  PLATES  (OTHERS) </t>
  </si>
  <si>
    <t xml:space="preserve">PLATES TRADING SALES TO THIRD PARTIES   </t>
  </si>
  <si>
    <t xml:space="preserve">RETURN  ON GOODS PLATES TRADING  SALES  </t>
  </si>
  <si>
    <t>REC.OUT.FREIGHT CT PLATES TRAD (RAILWAY)</t>
  </si>
  <si>
    <t>REC.OUT.FREIGHT CT PLATES TRAD (FREIGHT)</t>
  </si>
  <si>
    <t xml:space="preserve">REC.OUT.FREIGHT CT PLATES TRAD (OTHERS) </t>
  </si>
  <si>
    <t xml:space="preserve">REC. COMMISSIONS ON PLATES SALES TRAD   </t>
  </si>
  <si>
    <t xml:space="preserve">COILS TRADING SALES TO THIRD PARTIES    </t>
  </si>
  <si>
    <t xml:space="preserve">REC.OUT.FREIGHT CT COILS TRAD (FREIGHT) </t>
  </si>
  <si>
    <t xml:space="preserve">SCRAP SALES                             </t>
  </si>
  <si>
    <t xml:space="preserve">SCALE SALES                             </t>
  </si>
  <si>
    <t xml:space="preserve">OPENING BALANCES RAW MATERIAL           </t>
  </si>
  <si>
    <t xml:space="preserve">CLOSING BALANCES RAW MATERIAL           </t>
  </si>
  <si>
    <t xml:space="preserve">SLABS PURCHASE                          </t>
  </si>
  <si>
    <t>INBOUND TRANSPORTS ( TRUCK,TRAIN,VESSEL)</t>
  </si>
  <si>
    <t xml:space="preserve">LOADING AND UNLOADING EXPENSES          </t>
  </si>
  <si>
    <t>SPARE PARTS  AND CONSUMABLES PURCH.COSTS</t>
  </si>
  <si>
    <t xml:space="preserve">COST OF MAINTENANCE MATERIAL            </t>
  </si>
  <si>
    <t xml:space="preserve">OPENING BALANCES MAINTENANCE            </t>
  </si>
  <si>
    <t xml:space="preserve">CLOSING BALANCES MAINTENANCE            </t>
  </si>
  <si>
    <t xml:space="preserve">SAFETY EQUIPMENT                        </t>
  </si>
  <si>
    <t xml:space="preserve">OTH.MATERIAL ( CLENING,HEALTHY,SIGNALS) </t>
  </si>
  <si>
    <t xml:space="preserve">IT MATERIAL                             </t>
  </si>
  <si>
    <t xml:space="preserve">PLATES TRADING PURCHASE FROM MTM        </t>
  </si>
  <si>
    <t xml:space="preserve">PLATES  PURCHASE FROM METINVEST GROUP   </t>
  </si>
  <si>
    <t>ING. FREIGHT CT PLATES PURCHASE (VESSEL)</t>
  </si>
  <si>
    <t xml:space="preserve">COILS TRADING PURCHASE FROM FV          </t>
  </si>
  <si>
    <t xml:space="preserve">OBTRANSP.PLATES TO TRD PARTIES (TRUCK)  </t>
  </si>
  <si>
    <t>OBTRANSP. PLATES TO TRD PARTIES  (TRUCK)</t>
  </si>
  <si>
    <t xml:space="preserve">OBTRANSP. COILS TO TRD PARTIES  (TRUCK) </t>
  </si>
  <si>
    <t>COMMISSION ON PLATES SALES TO TRD PARTIE</t>
  </si>
  <si>
    <t xml:space="preserve">ENSURANCE ON CREDITS                    </t>
  </si>
  <si>
    <t xml:space="preserve">CLEANING SERVICES                       </t>
  </si>
  <si>
    <t xml:space="preserve">WASTE DISPOSAL SERVICES                 </t>
  </si>
  <si>
    <t xml:space="preserve">REPAIRS ON STEEL SHEETS                 </t>
  </si>
  <si>
    <t xml:space="preserve">STEEL SHEETS SANDBLASTING               </t>
  </si>
  <si>
    <t xml:space="preserve">ROLLERS GRINDING                        </t>
  </si>
  <si>
    <t xml:space="preserve">OTHER PROCESSING-RELATED OPER.IONS      </t>
  </si>
  <si>
    <t xml:space="preserve">STEEL SHEETS TRIMMING                   </t>
  </si>
  <si>
    <t xml:space="preserve">SPECIMEN/SAMPLES PREPARATION            </t>
  </si>
  <si>
    <t xml:space="preserve">U.S. TESTING                            </t>
  </si>
  <si>
    <t xml:space="preserve">ISO CERTIFICATION                       </t>
  </si>
  <si>
    <t xml:space="preserve">ENVIRONMENTAL SERVICES                  </t>
  </si>
  <si>
    <t xml:space="preserve">TECHNICAL SERV.AND CONS.(MAINTENANCE )  </t>
  </si>
  <si>
    <t>OTHER TECHNICAL SERVICES AND CONSULTANCY</t>
  </si>
  <si>
    <t xml:space="preserve">ENERGY                                  </t>
  </si>
  <si>
    <t xml:space="preserve">GAS                                     </t>
  </si>
  <si>
    <t xml:space="preserve">TRAVEL EXPENSES  -  RESTAURANT          </t>
  </si>
  <si>
    <t xml:space="preserve">TRAVEL EXPENSES  -  HOTEL               </t>
  </si>
  <si>
    <t xml:space="preserve">TRAVEL EXPENSES TRANSP.(FLIGHTS, TRAIN) </t>
  </si>
  <si>
    <t xml:space="preserve">SHORT TERM RENT CAR                     </t>
  </si>
  <si>
    <t xml:space="preserve">FUEL EXPENSES                           </t>
  </si>
  <si>
    <t xml:space="preserve">TICKET HIGHWAY EXPENSES                 </t>
  </si>
  <si>
    <t xml:space="preserve">MILEAGE REIMBOURSEMENT                  </t>
  </si>
  <si>
    <t xml:space="preserve">OTHER TRAVEL EXPENSES                   </t>
  </si>
  <si>
    <t xml:space="preserve">TRAINING, STAGES COURSE, MEETINGS_x001A_      </t>
  </si>
  <si>
    <t xml:space="preserve">PURCHASING OF DRINK AND FOOD            </t>
  </si>
  <si>
    <t xml:space="preserve">BUSINESS LUNCH AND DINNERS              </t>
  </si>
  <si>
    <t xml:space="preserve">GENERAL CONSULTANCY                     </t>
  </si>
  <si>
    <t xml:space="preserve">LEGAL AND NOTARY CONSULTANCY            </t>
  </si>
  <si>
    <t xml:space="preserve">AUDIT SERVICES                          </t>
  </si>
  <si>
    <t xml:space="preserve">TAX CONSULTANCY                         </t>
  </si>
  <si>
    <t xml:space="preserve">IT CONSULTANCY                          </t>
  </si>
  <si>
    <t xml:space="preserve">TEMPORARY CONSULTANCY ( SERVICES )      </t>
  </si>
  <si>
    <t xml:space="preserve">PERSONNEL RESEARCH CONSULTANCY          </t>
  </si>
  <si>
    <t xml:space="preserve">OPERATIONAL BANKS'COMMISSION            </t>
  </si>
  <si>
    <t>ADVERTISEMENTS,PRESS RELEASE AND SIMILAR</t>
  </si>
  <si>
    <t xml:space="preserve">TELEPHONE EXPENSES                      </t>
  </si>
  <si>
    <t xml:space="preserve">MOBILE EXPENSES                         </t>
  </si>
  <si>
    <t xml:space="preserve">CAR EXPENSES                            </t>
  </si>
  <si>
    <t xml:space="preserve">REPRESENTATION EXPENSES                 </t>
  </si>
  <si>
    <t xml:space="preserve">STATIONERY AND PRINTERS                 </t>
  </si>
  <si>
    <t xml:space="preserve">SURVEILLANCE SERVICES                   </t>
  </si>
  <si>
    <t xml:space="preserve">OTHERS                                  </t>
  </si>
  <si>
    <t xml:space="preserve">RENT OF EQUIPMENT                       </t>
  </si>
  <si>
    <t xml:space="preserve">OTHER RENTS                             </t>
  </si>
  <si>
    <t xml:space="preserve">CARS                                    </t>
  </si>
  <si>
    <t xml:space="preserve">PLANT AND SYSTEM LEASING                </t>
  </si>
  <si>
    <t xml:space="preserve">WAGES AND SALARY                        </t>
  </si>
  <si>
    <t xml:space="preserve">SOCIAL CHARGES WAGES AND SALARY         </t>
  </si>
  <si>
    <t xml:space="preserve">DEPRECIATION OF OTHER INTANGIBLE ASSETS </t>
  </si>
  <si>
    <t xml:space="preserve">DEPRECIATION ON INDUSTRIAL BUILDINGS    </t>
  </si>
  <si>
    <t xml:space="preserve">DEPR. ON GENERIC AND SPECIFIC PLANTS    </t>
  </si>
  <si>
    <t xml:space="preserve">OTHER PROVISION FOR RISKS               </t>
  </si>
  <si>
    <t xml:space="preserve">LOSS ON RECEIVABLES                     </t>
  </si>
  <si>
    <t xml:space="preserve">BOOK, MAGAZINES..                       </t>
  </si>
  <si>
    <t xml:space="preserve">CONTR. ASSOC. (CREDIT CARD, IND. ASS.)  </t>
  </si>
  <si>
    <t xml:space="preserve">CAPITAL LOSSES ON TRANSFER  TANG/INTANG </t>
  </si>
  <si>
    <t xml:space="preserve">LOCAL PROPERTY TAX                      </t>
  </si>
  <si>
    <t xml:space="preserve">GIFTS                                   </t>
  </si>
  <si>
    <t xml:space="preserve">INCOME FOR PUBLIC CONTRIBUTION          </t>
  </si>
  <si>
    <t xml:space="preserve">OPERATIONAL PROCEEDS FROM EXCHANGE RATE </t>
  </si>
  <si>
    <t xml:space="preserve">INTEREST TO PARENT COMPANIES            </t>
  </si>
  <si>
    <t xml:space="preserve">EXPENSES ON EXCHANGE RATES              </t>
  </si>
  <si>
    <t xml:space="preserve">PLATES TRADING SALES TO FV              </t>
  </si>
  <si>
    <t>Health &amp; Safety</t>
  </si>
  <si>
    <t>Transport.</t>
  </si>
  <si>
    <t xml:space="preserve">CONSULTANCY ON COMPANY'SAFETY           </t>
  </si>
  <si>
    <t xml:space="preserve">CLOSING BALANCES TRADING COILS          </t>
  </si>
  <si>
    <t>Period</t>
  </si>
  <si>
    <t>Belgium VAT</t>
  </si>
  <si>
    <t>Pension Contributions</t>
  </si>
  <si>
    <t>Lookup Table</t>
  </si>
  <si>
    <t>Prime scrap</t>
  </si>
  <si>
    <t>Plate produced</t>
  </si>
  <si>
    <t>Slabs rolled</t>
  </si>
  <si>
    <t>Scrap production</t>
  </si>
  <si>
    <t>Furnace loss</t>
  </si>
  <si>
    <t>Plate yield</t>
  </si>
  <si>
    <t>Scrap yield</t>
  </si>
  <si>
    <t>Other yield</t>
  </si>
  <si>
    <t>- INT.REVERED SCRAP</t>
  </si>
  <si>
    <t>Cumulative</t>
  </si>
  <si>
    <t>Cost</t>
  </si>
  <si>
    <t>Cumulative Cost</t>
  </si>
  <si>
    <t xml:space="preserve">Cumulative Production </t>
  </si>
  <si>
    <t>CUMULATIVE</t>
  </si>
  <si>
    <t>SLABS COST £/ton</t>
  </si>
  <si>
    <t>EX-WORKS NET REVENUES £/ton</t>
  </si>
  <si>
    <t>Despatch Tonnage</t>
  </si>
  <si>
    <t>BB01040102</t>
  </si>
  <si>
    <t>BB02010101</t>
  </si>
  <si>
    <t>BB02010102</t>
  </si>
  <si>
    <t>BB02010112</t>
  </si>
  <si>
    <t>BB02020101</t>
  </si>
  <si>
    <t>BB02020111</t>
  </si>
  <si>
    <t>BB02040101</t>
  </si>
  <si>
    <t>BB02040111</t>
  </si>
  <si>
    <t>BB02050101</t>
  </si>
  <si>
    <t>BB03010102</t>
  </si>
  <si>
    <t>CC01010201</t>
  </si>
  <si>
    <t>CC01010601</t>
  </si>
  <si>
    <t>CC01030201</t>
  </si>
  <si>
    <t>CC01040201</t>
  </si>
  <si>
    <t>CC01040202</t>
  </si>
  <si>
    <t>CC02010101</t>
  </si>
  <si>
    <t>CC02010103</t>
  </si>
  <si>
    <t>CC02010105</t>
  </si>
  <si>
    <t>CC02040106</t>
  </si>
  <si>
    <t>CC04010101</t>
  </si>
  <si>
    <t>CC04030101</t>
  </si>
  <si>
    <t>DD01010101</t>
  </si>
  <si>
    <t>DD02010102</t>
  </si>
  <si>
    <t>EE01010101</t>
  </si>
  <si>
    <t>EE01010103</t>
  </si>
  <si>
    <t>EE02010101</t>
  </si>
  <si>
    <t>FF01010101</t>
  </si>
  <si>
    <t>HH02010105</t>
  </si>
  <si>
    <t>HH02010109</t>
  </si>
  <si>
    <t>HH03010101</t>
  </si>
  <si>
    <t>HH04010101</t>
  </si>
  <si>
    <t>HH10010101</t>
  </si>
  <si>
    <t>HH10010103</t>
  </si>
  <si>
    <t>HH10010104</t>
  </si>
  <si>
    <t>II01010101</t>
  </si>
  <si>
    <t>MM01010101</t>
  </si>
  <si>
    <t>MM01010102</t>
  </si>
  <si>
    <t>MM01010108</t>
  </si>
  <si>
    <t>MM01010109</t>
  </si>
  <si>
    <t>MM01010110</t>
  </si>
  <si>
    <t>MM01010202</t>
  </si>
  <si>
    <t>MM01010209</t>
  </si>
  <si>
    <t>MM01010301</t>
  </si>
  <si>
    <t>MM01010302</t>
  </si>
  <si>
    <t>MM01010309</t>
  </si>
  <si>
    <t>MM02010101</t>
  </si>
  <si>
    <t>MM02010102</t>
  </si>
  <si>
    <t>MM02010106</t>
  </si>
  <si>
    <t>MM02010107</t>
  </si>
  <si>
    <t>MM02010108</t>
  </si>
  <si>
    <t>MM02010109</t>
  </si>
  <si>
    <t>MM02010301</t>
  </si>
  <si>
    <t>MM02020101</t>
  </si>
  <si>
    <t>MM02020107</t>
  </si>
  <si>
    <t>MM03010101</t>
  </si>
  <si>
    <t>MM03010102</t>
  </si>
  <si>
    <t>MM05010104</t>
  </si>
  <si>
    <t>NN01010101</t>
  </si>
  <si>
    <t>NN01010201</t>
  </si>
  <si>
    <t>NN02010101</t>
  </si>
  <si>
    <t>NN02010102</t>
  </si>
  <si>
    <t>NN02010103</t>
  </si>
  <si>
    <t>NN02010104</t>
  </si>
  <si>
    <t>NN02010106</t>
  </si>
  <si>
    <t>NN02020103</t>
  </si>
  <si>
    <t>NN02030101</t>
  </si>
  <si>
    <t>NN02030102</t>
  </si>
  <si>
    <t>NN02030103</t>
  </si>
  <si>
    <t>NN02040101</t>
  </si>
  <si>
    <t>NN02040102</t>
  </si>
  <si>
    <t>NN02040103</t>
  </si>
  <si>
    <t>NN03010203</t>
  </si>
  <si>
    <t>NN03010401</t>
  </si>
  <si>
    <t>NN03010402</t>
  </si>
  <si>
    <t>NN03010403</t>
  </si>
  <si>
    <t>NN03010406</t>
  </si>
  <si>
    <t>NN03020303</t>
  </si>
  <si>
    <t>NN04010102</t>
  </si>
  <si>
    <t>NN04010103</t>
  </si>
  <si>
    <t>NN04030103</t>
  </si>
  <si>
    <t>NN04040103</t>
  </si>
  <si>
    <t>NN05010101</t>
  </si>
  <si>
    <t>NN05080105</t>
  </si>
  <si>
    <t>NN05080108</t>
  </si>
  <si>
    <t>NN06010106</t>
  </si>
  <si>
    <t>NN06010107</t>
  </si>
  <si>
    <t>NN06010109</t>
  </si>
  <si>
    <t>NN06010110</t>
  </si>
  <si>
    <t>NN06010111</t>
  </si>
  <si>
    <t>NN06010112</t>
  </si>
  <si>
    <t>NN06010113</t>
  </si>
  <si>
    <t>NN06010114</t>
  </si>
  <si>
    <t>NN06010115</t>
  </si>
  <si>
    <t>NN06010117</t>
  </si>
  <si>
    <t>NN06010118</t>
  </si>
  <si>
    <t>NN06010119</t>
  </si>
  <si>
    <t>NN06010121</t>
  </si>
  <si>
    <t>NN06010122</t>
  </si>
  <si>
    <t>NN06010201</t>
  </si>
  <si>
    <t>NN06010202</t>
  </si>
  <si>
    <t>NN06010203</t>
  </si>
  <si>
    <t>NN06020101</t>
  </si>
  <si>
    <t>NN06020102</t>
  </si>
  <si>
    <t>NN06020103</t>
  </si>
  <si>
    <t>NN06020104</t>
  </si>
  <si>
    <t>NN06020105</t>
  </si>
  <si>
    <t>NN06020106</t>
  </si>
  <si>
    <t>NN06020107</t>
  </si>
  <si>
    <t>NN06020109</t>
  </si>
  <si>
    <t>NN06020202</t>
  </si>
  <si>
    <t>NN06020204</t>
  </si>
  <si>
    <t>NN06020205</t>
  </si>
  <si>
    <t>NN06030101</t>
  </si>
  <si>
    <t>NN06030102</t>
  </si>
  <si>
    <t>NN06030104</t>
  </si>
  <si>
    <t>NN06030105</t>
  </si>
  <si>
    <t>NN06030107</t>
  </si>
  <si>
    <t>NN06030110</t>
  </si>
  <si>
    <t>NN06030111</t>
  </si>
  <si>
    <t>NN06030201</t>
  </si>
  <si>
    <t>NN06030202</t>
  </si>
  <si>
    <t>NN06030204</t>
  </si>
  <si>
    <t>NN06030205</t>
  </si>
  <si>
    <t>NN06030206</t>
  </si>
  <si>
    <t>NN06030210</t>
  </si>
  <si>
    <t>NN06030211</t>
  </si>
  <si>
    <t>NN06030212</t>
  </si>
  <si>
    <t>NN06030215</t>
  </si>
  <si>
    <t>NN07010101</t>
  </si>
  <si>
    <t>NN07010104</t>
  </si>
  <si>
    <t>NN07020101</t>
  </si>
  <si>
    <t>NN07020102</t>
  </si>
  <si>
    <t>NN08010101</t>
  </si>
  <si>
    <t>NN08020201</t>
  </si>
  <si>
    <t>NN09010106</t>
  </si>
  <si>
    <t>NN09020102</t>
  </si>
  <si>
    <t>NN09020104</t>
  </si>
  <si>
    <t>NN09030101</t>
  </si>
  <si>
    <t>NN10010105</t>
  </si>
  <si>
    <t>NN11010101</t>
  </si>
  <si>
    <t>NN11010102</t>
  </si>
  <si>
    <t>NN11010103</t>
  </si>
  <si>
    <t>NN11010105</t>
  </si>
  <si>
    <t>NN11020101</t>
  </si>
  <si>
    <t>NN11020108</t>
  </si>
  <si>
    <t>PP01040102</t>
  </si>
  <si>
    <t>PP01040104</t>
  </si>
  <si>
    <t>PP01040105</t>
  </si>
  <si>
    <t>PP02030103</t>
  </si>
  <si>
    <t>PP02040105</t>
  </si>
  <si>
    <t>SS01010101</t>
  </si>
  <si>
    <t>SS01020102</t>
  </si>
  <si>
    <t>CC02050202</t>
  </si>
  <si>
    <t>CC02050213</t>
  </si>
  <si>
    <t>Debtor</t>
  </si>
  <si>
    <t>Creditor</t>
  </si>
  <si>
    <t>DD02010103</t>
  </si>
  <si>
    <t>NN06010302</t>
  </si>
  <si>
    <t>NN06020203</t>
  </si>
  <si>
    <t>MM01010310</t>
  </si>
  <si>
    <t>MM02010308</t>
  </si>
  <si>
    <t>MM02020102</t>
  </si>
  <si>
    <t xml:space="preserve">RETURN  ON GOODS COILS TRADING  SALES   </t>
  </si>
  <si>
    <t>MM02020104</t>
  </si>
  <si>
    <t xml:space="preserve">PROVISION CLAIMS COILS SALES            </t>
  </si>
  <si>
    <t>MM02020108</t>
  </si>
  <si>
    <t>REC.OUT.FREIGHT CT  COILS  TRAD (OTHERS)</t>
  </si>
  <si>
    <t>NN02010105</t>
  </si>
  <si>
    <t xml:space="preserve">CUSTOM CLEARANCE AND DUTY EXPENSES      </t>
  </si>
  <si>
    <t>NN03020306</t>
  </si>
  <si>
    <t xml:space="preserve">ING.FREIGHT CT COILS PURCHASE (VESSEL)  </t>
  </si>
  <si>
    <t>COILS TRAD PURCHASE FROM METINVEST GROUP</t>
  </si>
  <si>
    <t>NN03020402</t>
  </si>
  <si>
    <t>NN03020403</t>
  </si>
  <si>
    <t>NN03020406</t>
  </si>
  <si>
    <t>NN06010101</t>
  </si>
  <si>
    <t>EXTERNAL MANUFACTURED WORK TO TRD PARTIE</t>
  </si>
  <si>
    <t>NN06010104</t>
  </si>
  <si>
    <t xml:space="preserve">SERVICES AND CONSULTANCY FROM MTM       </t>
  </si>
  <si>
    <t>NN06010108</t>
  </si>
  <si>
    <t xml:space="preserve">MAINTENANCE SERVICES FOR GARDEN         </t>
  </si>
  <si>
    <t xml:space="preserve">OXYGEN                                  </t>
  </si>
  <si>
    <t>NN06010205</t>
  </si>
  <si>
    <t xml:space="preserve">WATER                                   </t>
  </si>
  <si>
    <t>NN06010206</t>
  </si>
  <si>
    <t xml:space="preserve">OTHER ENERGY COSTS                      </t>
  </si>
  <si>
    <t xml:space="preserve">INSURANCES ( INDUSTRIAL )               </t>
  </si>
  <si>
    <t xml:space="preserve">INSURANCES EMPLOYEES                    </t>
  </si>
  <si>
    <t>NN06030109</t>
  </si>
  <si>
    <t xml:space="preserve">MEDICAL CONSULTANCY                     </t>
  </si>
  <si>
    <t>NN06030214</t>
  </si>
  <si>
    <t xml:space="preserve">FREE SUPPLIES                           </t>
  </si>
  <si>
    <t>NN08010120</t>
  </si>
  <si>
    <t xml:space="preserve">MBO - ACCRUALS                          </t>
  </si>
  <si>
    <t>NN08030101</t>
  </si>
  <si>
    <t xml:space="preserve">CURRENT RETIREMENT ALLOWANCE            </t>
  </si>
  <si>
    <t>PP01010102</t>
  </si>
  <si>
    <t xml:space="preserve">DIVIDENDS FROM RELATED COMPANIES        </t>
  </si>
  <si>
    <t>RR02010106</t>
  </si>
  <si>
    <t>Personnel costs</t>
  </si>
  <si>
    <t>Administration</t>
  </si>
  <si>
    <t>No. Of Emp's</t>
  </si>
  <si>
    <t>Gross</t>
  </si>
  <si>
    <t>Employer NIC</t>
  </si>
  <si>
    <t>Check</t>
  </si>
  <si>
    <t>Admin</t>
  </si>
  <si>
    <t>NN03010103</t>
  </si>
  <si>
    <t>MM02010104</t>
  </si>
  <si>
    <t>PROVISION CLAIMS TRADING PRODUCT</t>
  </si>
  <si>
    <t>NN03010101</t>
  </si>
  <si>
    <t>OPENING BALANCES TRADING PRODUCTS</t>
  </si>
  <si>
    <t>NN03010102</t>
  </si>
  <si>
    <t>CLOSING BALANCES TRADING PRODUCTS</t>
  </si>
  <si>
    <t>NN03010106</t>
  </si>
  <si>
    <t>INGOING FREIGHT COST TRADING PRODUCT PURCHASE (vessel)</t>
  </si>
  <si>
    <t>OUTBOUND TRANSPORTS MATERIALS OWN PRODUCTION (VESSEL )</t>
  </si>
  <si>
    <t>ADVERTISING EXPENSES AND SPONSORING</t>
  </si>
  <si>
    <t>NN06010301</t>
  </si>
  <si>
    <t>OTHER INBOUND TRANSPORTS</t>
  </si>
  <si>
    <t>TRADING PRODUCT PURCHASE</t>
  </si>
  <si>
    <t>BB01040111</t>
  </si>
  <si>
    <t>CC02020102</t>
  </si>
  <si>
    <t>CC02040102</t>
  </si>
  <si>
    <t>CC04010102</t>
  </si>
  <si>
    <t>CC04010103</t>
  </si>
  <si>
    <t>CC04010104</t>
  </si>
  <si>
    <t>CC04010105</t>
  </si>
  <si>
    <t>CC04010106</t>
  </si>
  <si>
    <t>CC04010107</t>
  </si>
  <si>
    <t>CC04010108</t>
  </si>
  <si>
    <t>CC04010109</t>
  </si>
  <si>
    <t>CC04010110</t>
  </si>
  <si>
    <t>HH10010105</t>
  </si>
  <si>
    <t>HH10010107</t>
  </si>
  <si>
    <t>HH10010108</t>
  </si>
  <si>
    <t>LINK NEW MONTH TO</t>
  </si>
  <si>
    <t>DOWNLOADED P &amp; L</t>
  </si>
  <si>
    <t>DEPR LICENCES AND TRADE MARKS</t>
  </si>
  <si>
    <t>G/L Acct/BP Code</t>
  </si>
  <si>
    <t>Name</t>
  </si>
  <si>
    <t>LICENSES</t>
  </si>
  <si>
    <t>LANDS</t>
  </si>
  <si>
    <t>BUILDINGS</t>
  </si>
  <si>
    <t>COMMON USE BUILDING DEPR. RESERVE</t>
  </si>
  <si>
    <t>STANDARD AND SPECIAL EQUIPMENT</t>
  </si>
  <si>
    <t>PROVISION FOR DEPRECIATION STANDARD AND SPECIFIC PLANTS</t>
  </si>
  <si>
    <t>FITTINGS AND FURNITURE</t>
  </si>
  <si>
    <t>PROVISION FOR DEPRECIATION FITTINGS AND FURNITURE</t>
  </si>
  <si>
    <t>SHAREHOLDINGS IN AFFILIATED COMPANY</t>
  </si>
  <si>
    <t>CLOSING BALANCES RAW MATERIALS PLATES</t>
  </si>
  <si>
    <t>CLOSING BALANCE MAINTENANCE MATERIALS</t>
  </si>
  <si>
    <t>CC01010602</t>
  </si>
  <si>
    <t>DEVALUATION FUND MAINTENANCE MATERIALS</t>
  </si>
  <si>
    <t>CLOSING BALANCES PLATES FINISHED PRODUCTS</t>
  </si>
  <si>
    <t>CLOSING BALANCES TRADING PLATES</t>
  </si>
  <si>
    <t>CLOSING BALANCES TRADING COILS</t>
  </si>
  <si>
    <t>RECEIVABLES FROM CUSTOMERS FOR ISSUED INVOICES</t>
  </si>
  <si>
    <t>RECEIVABLES FROM CUSTOMERS FOR CREDIT NOTE TO BE ISSUED</t>
  </si>
  <si>
    <t>PROVISION FOR DOUBTFUL ACCOUNTS</t>
  </si>
  <si>
    <t>RECEIVABLES FROM SUBSIDIARY COMPANIES FOR ISSUED INVOICES</t>
  </si>
  <si>
    <t>RECEIVABLES FROM PARENT COMPANY FOR FUNDIGS</t>
  </si>
  <si>
    <t>RECEIVABLES FROM PARENT COMPANIES FOR VAT GROUP</t>
  </si>
  <si>
    <t>VAT ON CREDIT</t>
  </si>
  <si>
    <t>DEFERRED TAX</t>
  </si>
  <si>
    <t>CC02050309</t>
  </si>
  <si>
    <t>VAT DEBIT IT</t>
  </si>
  <si>
    <t>DB GBP</t>
  </si>
  <si>
    <t>DB EUR</t>
  </si>
  <si>
    <t>DB GER</t>
  </si>
  <si>
    <t>DB USD</t>
  </si>
  <si>
    <t>MBM EUR</t>
  </si>
  <si>
    <t>BPL EUR</t>
  </si>
  <si>
    <t>BANCO POPOLARE - FALCONE</t>
  </si>
  <si>
    <t>BANCO POPOLARE - EUROTRAVI</t>
  </si>
  <si>
    <t>BPL GBP</t>
  </si>
  <si>
    <t>MPS EUR</t>
  </si>
  <si>
    <t>CC04010111</t>
  </si>
  <si>
    <t>DB GBP CLEARING</t>
  </si>
  <si>
    <t>CC04010112</t>
  </si>
  <si>
    <t>DB EUR CLEARING</t>
  </si>
  <si>
    <t>CC04010113</t>
  </si>
  <si>
    <t>DB GER CLEARING</t>
  </si>
  <si>
    <t>CC04010115</t>
  </si>
  <si>
    <t>MBM EUR CLEARING</t>
  </si>
  <si>
    <t>CC04010116</t>
  </si>
  <si>
    <t>BPL EUR CLEARING</t>
  </si>
  <si>
    <t>CC04010117</t>
  </si>
  <si>
    <t>BANCO POPOLARE - FALCONE CLEARING</t>
  </si>
  <si>
    <t>CC04010118</t>
  </si>
  <si>
    <t>BANCO POPOLARE - EUROTRAVI CLEARING</t>
  </si>
  <si>
    <t>CC04010120</t>
  </si>
  <si>
    <t>MPS EUR CLEARING</t>
  </si>
  <si>
    <t>CC04010121</t>
  </si>
  <si>
    <t>BLME GBP</t>
  </si>
  <si>
    <t>CC04010131</t>
  </si>
  <si>
    <t>BLME GBP CLEARING</t>
  </si>
  <si>
    <t>MONEY AND CASH HEADQUARTER</t>
  </si>
  <si>
    <t>OTHER PREPAID EXPENSES &lt; 12 MONTHS</t>
  </si>
  <si>
    <t>OTHER PREPAID EXPENSES &gt; 12 MONTHS</t>
  </si>
  <si>
    <t>HH02010102</t>
  </si>
  <si>
    <t>OUTPUT VAT</t>
  </si>
  <si>
    <t>HH02010114</t>
  </si>
  <si>
    <t>OUTPUT VAT ON EU PURCHASE</t>
  </si>
  <si>
    <t>HH02010118</t>
  </si>
  <si>
    <t>VAT CREDIT IT</t>
  </si>
  <si>
    <t>NATIONAL INSURANCE</t>
  </si>
  <si>
    <t>STAFF SALARIES</t>
  </si>
  <si>
    <t>HH07010201</t>
  </si>
  <si>
    <t>DEBTS FROM BANKS FOR LOANS &lt; 12 MONTHS</t>
  </si>
  <si>
    <t>HH09010105</t>
  </si>
  <si>
    <t>ADVANCES NOT INVOICED</t>
  </si>
  <si>
    <t>HH09010106</t>
  </si>
  <si>
    <t>ADVANCES INVOICED</t>
  </si>
  <si>
    <t>DEBTS FROM SUPPLIERS FOR INVOICES TO PAY</t>
  </si>
  <si>
    <t>DEBTS FROM SUPPLIERS FOR  INVOICES TO BE RECEIVED</t>
  </si>
  <si>
    <t>DEBTS FROM SUPPLIERS - DOMESTIC PAYMENT</t>
  </si>
  <si>
    <t>DEBTS FROM SUPPLIERS - EU PAYMENT</t>
  </si>
  <si>
    <t>DEBTS FROM SUPPLIERS - INTERCOMPANY PAYMENT</t>
  </si>
  <si>
    <t>DEBTS FROM SUPPLIERS - HANDLING PAYMENT</t>
  </si>
  <si>
    <t>ACCRUED EXPENSES &lt; 12 MONTHS</t>
  </si>
  <si>
    <t>PERIOD PROFIT</t>
  </si>
  <si>
    <t>PERIOD LOSS</t>
  </si>
  <si>
    <t>ORDINARY SHARES</t>
  </si>
  <si>
    <t>PROVISIONS FOR RISKS FOR RETIREMENT</t>
  </si>
  <si>
    <t>ZZ91001</t>
  </si>
  <si>
    <t>Opening Balance Upload</t>
  </si>
  <si>
    <t>SALES MATERIALS OWN PRODUCTION</t>
  </si>
  <si>
    <t>RETURN ON  SALES MATERIALS OWN PRODUCTION</t>
  </si>
  <si>
    <t>RECHARGE OUTGOING FREIGHT COST MATERIAL OWN PRODUCTION (freight)</t>
  </si>
  <si>
    <t>RECHARGE OUTGOING FREIGHT COST MATERIAL OWN PRODUCTION (others)</t>
  </si>
  <si>
    <t>RECHARGE COMMISSIONS ON SALES MATERIAL OWN PRODUCTION</t>
  </si>
  <si>
    <t>SALES TRADING PRODUCTS</t>
  </si>
  <si>
    <t>RETURN ON SALES TRADING PRODUCTS</t>
  </si>
  <si>
    <t>REBATE ON SALES TRADING PRODUCTS</t>
  </si>
  <si>
    <t>RECHARGE OUTGOING FREIGHT COST TRADING PRODUCTS (railway charges)</t>
  </si>
  <si>
    <t>RECHARGE OUTGOING FREIGHT COST TRADING PRODUCTS (freight)</t>
  </si>
  <si>
    <t>RECHARGE OUTGOING FREIGHT COST TRADING PRODUCTS (others)</t>
  </si>
  <si>
    <t>OPENING BALANCES PLATES FINISHED PRODUCTS</t>
  </si>
  <si>
    <t>CLOSING BALANCES FINISHED PRODUCTS OWN PRODUCTION</t>
  </si>
  <si>
    <t>OPENING BALANCES RAW MATERIAL</t>
  </si>
  <si>
    <t>CLOSING BALANCES RAW MATERIAL</t>
  </si>
  <si>
    <t>SLABS PURCHASE</t>
  </si>
  <si>
    <t>INBOUND TRANSPORTS ( TRUCK, TRAIN, VESSEL…)</t>
  </si>
  <si>
    <t>CUSTOM CLEARANCE AND DUTY EXPENSES</t>
  </si>
  <si>
    <t>MAINTENANCE CONSUMABLES PURCHASE COSTS</t>
  </si>
  <si>
    <t>OPENING BALANCES MAINTENANCE</t>
  </si>
  <si>
    <t>CLOSING BALANCES MAINTENANCE</t>
  </si>
  <si>
    <t>COST OF MAINTENANCE MATERIAL</t>
  </si>
  <si>
    <t>SAFETY EQUIPMENT</t>
  </si>
  <si>
    <t>IT MATERIAL</t>
  </si>
  <si>
    <t>OUTBOUND TRANSPORTS MATERIALS OWN PRODUCTION (TRUCK)</t>
  </si>
  <si>
    <t>OUTBOUND TRANSPORTS TRADED PRODUCT FROM PORT (TRUCK)</t>
  </si>
  <si>
    <t>COMMISSION ON SALES MATERIALS OWN PRODUCTION</t>
  </si>
  <si>
    <t>INSURANCE ON CREDIT</t>
  </si>
  <si>
    <t>EXTERNAL MANUFACTURED WORK</t>
  </si>
  <si>
    <t>SERVICES AND CONSULTANCY</t>
  </si>
  <si>
    <t>CLEANING SERVICES</t>
  </si>
  <si>
    <t>WASTE DISPOSAL SERVICES</t>
  </si>
  <si>
    <t>MAINTENANCE SERVICES FOR GARDEN</t>
  </si>
  <si>
    <t>OTHER PROCESSING-RELATED OPER.IONS</t>
  </si>
  <si>
    <t>U.S. TESTING</t>
  </si>
  <si>
    <t>ISO CERTIFICATION</t>
  </si>
  <si>
    <t>ENVIRONMENTAL SERVICES</t>
  </si>
  <si>
    <t>CONSULTANCY ON COMPANY SAFETY</t>
  </si>
  <si>
    <t>TECHNICAL SERVICES AND CONSULTANCY FOR MAINTENANCE</t>
  </si>
  <si>
    <t>ENERGY</t>
  </si>
  <si>
    <t>WATERS</t>
  </si>
  <si>
    <t>OTHER ENERGIES</t>
  </si>
  <si>
    <t>INDUSTRIALS INSURANCES</t>
  </si>
  <si>
    <t>TRAVEL EXPENSES  -  HOTEL</t>
  </si>
  <si>
    <t>TRAVEL EXPENSES  -  TRANSPORTATION  ( FLIGHTS, TRAIN…)</t>
  </si>
  <si>
    <t>FUEL EXPENSES</t>
  </si>
  <si>
    <t>TICKET HIGHWAY EXPENSES</t>
  </si>
  <si>
    <t>MILEAGE REIMBOURSEMENT</t>
  </si>
  <si>
    <t>OTHER TRAVEL EXPENSES</t>
  </si>
  <si>
    <t>TRAINING, STAGES COURSE, MEETINGS…</t>
  </si>
  <si>
    <t>INSURANCES EMPLOYEES</t>
  </si>
  <si>
    <t>GENERAL CONSULTANCIES</t>
  </si>
  <si>
    <t>LEGAL AND NOTARY CONSULTANCIES</t>
  </si>
  <si>
    <t>AUDIT SERVICES</t>
  </si>
  <si>
    <t>TAX CONSULTANCIES</t>
  </si>
  <si>
    <t>IT CONSULTANCIES</t>
  </si>
  <si>
    <t>MEDICAL CONSULTANCIES</t>
  </si>
  <si>
    <t>TEMPORARY CONSULTANCIES ( SERVICES )</t>
  </si>
  <si>
    <t>PERSONNEL RESEARCH CONSULTANCIES</t>
  </si>
  <si>
    <t>OPERATIONAL BANKS COMMISSIONS</t>
  </si>
  <si>
    <t>ADVERTISEMENTS, PRESS RELEASE AND SIMILAR</t>
  </si>
  <si>
    <t>TELEPHONE EXPENSES</t>
  </si>
  <si>
    <t>MOBILE EXPENSES</t>
  </si>
  <si>
    <t>CAR EXPENSES</t>
  </si>
  <si>
    <t>REPRESENTATION EXPENSES</t>
  </si>
  <si>
    <t>STATIONERY AND PRINTERS</t>
  </si>
  <si>
    <t>SURVEILLANCE SERVICES</t>
  </si>
  <si>
    <t>OTHERS</t>
  </si>
  <si>
    <t>RENT OF EQUIPMENT</t>
  </si>
  <si>
    <t>OTHER RENTS</t>
  </si>
  <si>
    <t>CARS</t>
  </si>
  <si>
    <t>PLANT AND SYSTEM LEASING</t>
  </si>
  <si>
    <t>NN07030101</t>
  </si>
  <si>
    <t>OFFICE RENTALS</t>
  </si>
  <si>
    <t>WAGES AND SALARY</t>
  </si>
  <si>
    <t>MBO - ACCRUALS</t>
  </si>
  <si>
    <t>NN08020101</t>
  </si>
  <si>
    <t>INSURANCES FOR HEALTH AND SECURITY</t>
  </si>
  <si>
    <t>SOCIAL CHARGES WAGES AND SALARY</t>
  </si>
  <si>
    <t>CURRENT RETIREMENT ALLOWANCE</t>
  </si>
  <si>
    <t>DEPRECIATION OF OTHER INTANGIBLE ASSETS</t>
  </si>
  <si>
    <t>DEPRECIATION ON INDUSTRIAL BUILDINGS</t>
  </si>
  <si>
    <t>DEPRECIATION ON GENERIC AND SPECIFIC PLANTS</t>
  </si>
  <si>
    <t>PROVISIONS FOR DOUBTFUL ACCOUNTS</t>
  </si>
  <si>
    <t>OTHER PROVISION FOR RISKS</t>
  </si>
  <si>
    <t>LOSS ON RECEIVABLES</t>
  </si>
  <si>
    <t>BOOK, MAGAZINES..</t>
  </si>
  <si>
    <t>CONTRIBUTIONS FOR ASSOCIATIONS (CREDIT CARD, INDUSTRIAL ASSOCIATIONS, TELEPASS…)</t>
  </si>
  <si>
    <t>CAPITAL LOSSES ON TRANSFER OF TANG/INTANG.</t>
  </si>
  <si>
    <t>LOCAL PROPERTY TAX</t>
  </si>
  <si>
    <t>GIFTS</t>
  </si>
  <si>
    <t>FIN INCOME FROM EQUITY INVESTMENTS DIVIDENDS FROM AFFILIATED COMPANIES</t>
  </si>
  <si>
    <t>INTEREST FROM BANKS</t>
  </si>
  <si>
    <t>INCOME FOR PUBLIC CONTRIBUTION</t>
  </si>
  <si>
    <t>OPERATIONAL PROCEEDS FROM EXCHANGE RATE</t>
  </si>
  <si>
    <t>INTEREST TO PARENT COMPANIES</t>
  </si>
  <si>
    <t>EXPENSES ON EXCHANGE RATES</t>
  </si>
  <si>
    <t>PP02050102</t>
  </si>
  <si>
    <t>OTHER FINANCIAL INTEREST AND EXPENSES</t>
  </si>
  <si>
    <t>OTHERS EXTRAORDINARIES EXPENSES</t>
  </si>
  <si>
    <t>BLME Loan</t>
  </si>
  <si>
    <t>Staff Salaries</t>
  </si>
  <si>
    <t>Purchases</t>
  </si>
  <si>
    <t>WIP ON TANGIBLE ASSETS</t>
  </si>
  <si>
    <t>NN06030217</t>
  </si>
  <si>
    <t>POSTAGE</t>
  </si>
  <si>
    <t>Slab cost (from Slab Correction File)</t>
  </si>
  <si>
    <t>Work Rolls</t>
  </si>
  <si>
    <t>From P &amp; L SAP Cell C1</t>
  </si>
  <si>
    <t>Yield (From Steel Balance Report) - F55</t>
  </si>
  <si>
    <t>CORPORATION TAX</t>
  </si>
  <si>
    <t>DEFERRED TAX RE LOSSES</t>
  </si>
  <si>
    <t>SHORT TERM RENT CAR</t>
  </si>
  <si>
    <t>PP02050112</t>
  </si>
  <si>
    <t>EXPENSES ROUNDING</t>
  </si>
  <si>
    <t>INCOME TAXES PREVIOUS YEARS</t>
  </si>
  <si>
    <t>SS01020101</t>
  </si>
  <si>
    <t>DEFERRED TAX LIABILITIES</t>
  </si>
  <si>
    <t>DEFERRED TAX ASSETS</t>
  </si>
  <si>
    <t>NN11020112</t>
  </si>
  <si>
    <t>EMISSION TRADING COSTS</t>
  </si>
  <si>
    <t>Foreign Exchange</t>
  </si>
  <si>
    <t>Emissions</t>
  </si>
  <si>
    <t>MISA</t>
  </si>
  <si>
    <t>ACCRUED INCOME &lt; 12 MONTHS</t>
  </si>
  <si>
    <t>BB01060101</t>
  </si>
  <si>
    <t>WIP ON INTANGILE ASSETS</t>
  </si>
  <si>
    <t>HH10010109</t>
  </si>
  <si>
    <t>II02010102</t>
  </si>
  <si>
    <t>OTHER DEFERRED LIABILITIES &lt; 12 MONTHS</t>
  </si>
  <si>
    <t>DEBTS FROM SUPPLIERS - TAXES PAYMENT</t>
  </si>
  <si>
    <t>CC02050310</t>
  </si>
  <si>
    <t>VAT DEBIT BE</t>
  </si>
  <si>
    <t>STEEL SHEETS TRIMMING</t>
  </si>
  <si>
    <t>Column</t>
  </si>
  <si>
    <t>NN09020116</t>
  </si>
  <si>
    <t>DEPRECIATION ON ASSETS LESS 1M WORTH</t>
  </si>
  <si>
    <t>BB02040102</t>
  </si>
  <si>
    <t>ELECTRONIC AND ELECTRIC OFFICE EQUIP.</t>
  </si>
  <si>
    <t>BB02040112</t>
  </si>
  <si>
    <t>PROVISION FOR DEPRECIATION ELECTRONIC/ELECTRIC OFFICE EQUIPMENT</t>
  </si>
  <si>
    <t>CC01050102</t>
  </si>
  <si>
    <t>ADVANCES TO SUPPLIERS</t>
  </si>
  <si>
    <t>XX01010101</t>
  </si>
  <si>
    <t>PROFIT AND LOSS</t>
  </si>
  <si>
    <t>Scrap sales (tonnes)</t>
  </si>
  <si>
    <t>MM01010106</t>
  </si>
  <si>
    <t>REBATE ON SALES MATERIALS OWN PRODUCTION</t>
  </si>
  <si>
    <t>CC04010122</t>
  </si>
  <si>
    <t>BLME EUR</t>
  </si>
  <si>
    <t>NN06030108</t>
  </si>
  <si>
    <t>PAYROLL CONSULTANCIES</t>
  </si>
  <si>
    <t>CC02030102</t>
  </si>
  <si>
    <t>RECEIVABLES FROM AFFILIATED AND CONTROLED COMPANIES FOR ISSUED INVOICES</t>
  </si>
  <si>
    <t>Tangible Assets in Progress</t>
  </si>
  <si>
    <t>Intangible Assets in Progress</t>
  </si>
  <si>
    <t>NN04030102</t>
  </si>
  <si>
    <t>OUTBOUND TRANSPORTS TRADED PRODUCT FROM PORT (VESSEL)</t>
  </si>
  <si>
    <t>Common Use Building Depr. Reserve</t>
  </si>
  <si>
    <t>Provision For Depreciation Standard And Specific Plants</t>
  </si>
  <si>
    <t>Provision For Depreciation Fittings And Furniture</t>
  </si>
  <si>
    <t>Provision For Depreciation Electronic/Electric Office Equipment</t>
  </si>
  <si>
    <t>Advances To Suppliers</t>
  </si>
  <si>
    <t>Receivables From Customers For Issued Invoices</t>
  </si>
  <si>
    <t/>
  </si>
  <si>
    <t>Receivables From Customers For Credit Note To Be Issued</t>
  </si>
  <si>
    <t>Provision For Doubtful Accounts</t>
  </si>
  <si>
    <t>Receivables From Subsidiary Companies For Issued Invoices</t>
  </si>
  <si>
    <t>Receivables From Parent Company For Fundigs</t>
  </si>
  <si>
    <t>Receivables From Affiliated And Controled Companies For Issued Invoices</t>
  </si>
  <si>
    <t>UK VAT (Payable)</t>
  </si>
  <si>
    <t>UK VAT (Receivable)</t>
  </si>
  <si>
    <t>Sales Area</t>
  </si>
  <si>
    <t>ETC</t>
  </si>
  <si>
    <t>Type</t>
  </si>
  <si>
    <t>D – Intercompany Italian VAT</t>
  </si>
  <si>
    <t>EXW</t>
  </si>
  <si>
    <t>G – Intercompany</t>
  </si>
  <si>
    <t>SELL</t>
  </si>
  <si>
    <t>Product</t>
  </si>
  <si>
    <t>REVENUE TAKEN FROM SAP REVENUE REPORT</t>
  </si>
  <si>
    <t>PURCHASES TAKEN FROM SAP MATERIAL PURCHASES REPORT</t>
  </si>
  <si>
    <t>CRC</t>
  </si>
  <si>
    <t>HRP</t>
  </si>
  <si>
    <t>Tons</t>
  </si>
  <si>
    <t>HDG</t>
  </si>
  <si>
    <t>COGS</t>
  </si>
  <si>
    <t>TAKEN FROM REVENUE REPORT</t>
  </si>
  <si>
    <t>Material &amp; unloading</t>
  </si>
  <si>
    <t>Debtors Sold to RBI GBP</t>
  </si>
  <si>
    <t>Debtors Sold to RBI EUR</t>
  </si>
  <si>
    <t>Debt vs RBI GBP</t>
  </si>
  <si>
    <t>Debt Vs RBI EUR</t>
  </si>
  <si>
    <t>RBI GBP</t>
  </si>
  <si>
    <t>RBI EUR</t>
  </si>
  <si>
    <t>PROFIT</t>
  </si>
  <si>
    <t>COILS</t>
  </si>
  <si>
    <t>Warehouse G includes B2B sales from MISA</t>
  </si>
  <si>
    <t>BB02060103</t>
  </si>
  <si>
    <t>RIGHT OF USE - COMMERCIAL EQUIPMENT IFRS16</t>
  </si>
  <si>
    <t>BB02060104</t>
  </si>
  <si>
    <t>RIGHT OF USE - OTHER LEASED ASSETS IFRS16</t>
  </si>
  <si>
    <t>BB02060113</t>
  </si>
  <si>
    <t>BB02060114</t>
  </si>
  <si>
    <t>RIGHT OF USE DEPN - COMMERCIAL EQUIPMENT IFRS16</t>
  </si>
  <si>
    <t>RIGHT OF USE DEPN - OTHER LEASED ASSETS IFRS16</t>
  </si>
  <si>
    <t>CC02050304</t>
  </si>
  <si>
    <t>CC04010132</t>
  </si>
  <si>
    <t>BLME EUR CLEARING</t>
  </si>
  <si>
    <t>CC04010133</t>
  </si>
  <si>
    <t>BLME USD CLEARING</t>
  </si>
  <si>
    <t>HH08010108</t>
  </si>
  <si>
    <t>FINANCIAL DEBT FOR LEASING - IFRS16</t>
  </si>
  <si>
    <t>HH10010106</t>
  </si>
  <si>
    <t>DEBTS FROM SUPPLIERS - NO EU PAYMENT</t>
  </si>
  <si>
    <t>NN09060103</t>
  </si>
  <si>
    <t>DEPRECIATION - COMMERCIAL EQUIPMENT IFRS16</t>
  </si>
  <si>
    <t>NN09060104</t>
  </si>
  <si>
    <t>DEPRECIATION - OTHER LEASED ASSETS IFRS16</t>
  </si>
  <si>
    <t>PP02040101</t>
  </si>
  <si>
    <t>INTEREST ON BONDED LOANS</t>
  </si>
  <si>
    <t>Lease Liability IFRS16</t>
  </si>
  <si>
    <t>NN04010203</t>
  </si>
  <si>
    <t>EXPORT CHARGES FOR OUTBOUND TRANSPORTS (TRUCK)</t>
  </si>
  <si>
    <t>CC02010116</t>
  </si>
  <si>
    <t>DEBTORS SOLD TO RBI GBP</t>
  </si>
  <si>
    <t>CC02010117</t>
  </si>
  <si>
    <t>DEBTORS SOLD TO RBI EUR</t>
  </si>
  <si>
    <t>CC02010118</t>
  </si>
  <si>
    <t>DUE FROM RBI GBP</t>
  </si>
  <si>
    <t>CC02010120</t>
  </si>
  <si>
    <t>DUE FROM RBI EUR</t>
  </si>
  <si>
    <t>HH08010109</t>
  </si>
  <si>
    <t>DUE TO RBI GBP</t>
  </si>
  <si>
    <t>HH08010110</t>
  </si>
  <si>
    <t>DUE TO RBI EUR</t>
  </si>
  <si>
    <t>CC04010124</t>
  </si>
  <si>
    <t>CC04010125</t>
  </si>
  <si>
    <t>RBI</t>
  </si>
  <si>
    <t>Leases</t>
  </si>
  <si>
    <t>PP01040101</t>
  </si>
  <si>
    <t>INTEREST FROM CUSTOMERS</t>
  </si>
  <si>
    <t>HH02010119</t>
  </si>
  <si>
    <t>VAT CREDIT BE</t>
  </si>
  <si>
    <t>HH02010120</t>
  </si>
  <si>
    <t>VAT CREDIT NL</t>
  </si>
  <si>
    <t>HH02010121</t>
  </si>
  <si>
    <t>VAT CREDIT FR</t>
  </si>
  <si>
    <t>HH02010117</t>
  </si>
  <si>
    <t>VAT CREDIT DE</t>
  </si>
  <si>
    <t>MM01010104</t>
  </si>
  <si>
    <t>PROVISION CLAIMS MATERIALS OWN PRODUCTION</t>
  </si>
  <si>
    <t>EE01010104</t>
  </si>
  <si>
    <t>OPERATING LOSS BALANCED DURING THE YEAR</t>
  </si>
  <si>
    <t>CC04010134</t>
  </si>
  <si>
    <t>RBI GBP CLEARING</t>
  </si>
  <si>
    <t>CC04010135</t>
  </si>
  <si>
    <t>RBI EUR CLEARING</t>
  </si>
  <si>
    <t>January 2022</t>
  </si>
  <si>
    <t>February 2022</t>
  </si>
  <si>
    <t>HRC</t>
  </si>
  <si>
    <t>HH04030102</t>
  </si>
  <si>
    <t>OTHER DEBTS FROM CUSTOMERS</t>
  </si>
  <si>
    <t>March 2022</t>
  </si>
  <si>
    <t>April 2022</t>
  </si>
  <si>
    <t>NN02020101</t>
  </si>
  <si>
    <t>NN02020102</t>
  </si>
  <si>
    <t>OPENING BALANCES CONSUMABLES AND SPARE SPARTS</t>
  </si>
  <si>
    <t>CLOSING BALANCES CONSUMABLES AND SPARE SPARTS</t>
  </si>
  <si>
    <t>CC01010401</t>
  </si>
  <si>
    <t>CLOSING BALANCE SUNDRY MAT. AND SPECIAL CONSUMABLES</t>
  </si>
  <si>
    <t>Consumable Spares</t>
  </si>
  <si>
    <t>May 2022</t>
  </si>
  <si>
    <t>June 2022</t>
  </si>
  <si>
    <t>July 2022</t>
  </si>
  <si>
    <t>NN11010104</t>
  </si>
  <si>
    <t>ADMINISTRATIVE PENALTIES</t>
  </si>
  <si>
    <t>August 2022</t>
  </si>
  <si>
    <t>September 2022</t>
  </si>
  <si>
    <t>October 2022</t>
  </si>
  <si>
    <t>November 2022</t>
  </si>
  <si>
    <t>December 2022</t>
  </si>
  <si>
    <t>PP02040106</t>
  </si>
  <si>
    <t>EXCHANGE RATE PROVISION</t>
  </si>
  <si>
    <t>PP01040108</t>
  </si>
  <si>
    <t>INTEREST FOR LATE IN PAYMENTS</t>
  </si>
  <si>
    <t>HH09010101</t>
  </si>
  <si>
    <t>CASH ADVANCES FROM CUSTOMERS</t>
  </si>
  <si>
    <t>CC02050313</t>
  </si>
  <si>
    <t>VAT DEBIT ES</t>
  </si>
  <si>
    <t>Spain VAT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</si>
  <si>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</si>
  <si>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</si>
  <si>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</si>
  <si>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</si>
  <si>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</si>
  <si>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</si>
  <si>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</si>
  <si>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</si>
  <si>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</si>
  <si>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</si>
  <si>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</si>
  <si>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</si>
  <si>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SCALE SALES</t>
  </si>
  <si>
    <t>P&amp;L Category</t>
  </si>
  <si>
    <t>Net Plate Sales</t>
  </si>
  <si>
    <t>P&amp;L Group</t>
  </si>
  <si>
    <t>Cost of Sales</t>
  </si>
  <si>
    <t>Sum of Feb</t>
  </si>
  <si>
    <t>Row Labels</t>
  </si>
  <si>
    <t>(blank)</t>
  </si>
  <si>
    <t>Grand Total</t>
  </si>
  <si>
    <t>Selling Costs</t>
  </si>
  <si>
    <t>Admin Costs</t>
  </si>
  <si>
    <t>Other Operating Expenses</t>
  </si>
  <si>
    <t>Finance Costs</t>
  </si>
  <si>
    <t>IC Trading</t>
  </si>
  <si>
    <t>Trading Materials</t>
  </si>
  <si>
    <t>Trading Transport</t>
  </si>
  <si>
    <t>Payroll</t>
  </si>
  <si>
    <t>EXCLUDE</t>
  </si>
  <si>
    <t>PP02040103</t>
  </si>
  <si>
    <t>INTEREST TO SUPPLIERS</t>
  </si>
  <si>
    <t>Fixed Assets</t>
  </si>
  <si>
    <t>Period Profit</t>
  </si>
  <si>
    <t>Period Loss</t>
  </si>
  <si>
    <t>Intangible Fixed Assets</t>
  </si>
  <si>
    <t>Tangible Fixed Assets</t>
  </si>
  <si>
    <t>Cash at Bank</t>
  </si>
  <si>
    <t>Section</t>
  </si>
  <si>
    <t>Line</t>
  </si>
  <si>
    <t>Prepayments and Accrued income</t>
  </si>
  <si>
    <t>Accruals and Deferred Income</t>
  </si>
  <si>
    <t>Captial and Reserves</t>
  </si>
  <si>
    <t>Drawer</t>
  </si>
  <si>
    <t>Current Assets</t>
  </si>
  <si>
    <t>Italian VAT Receivable</t>
  </si>
  <si>
    <t>Current Liabilities</t>
  </si>
  <si>
    <t>Reserves and Retained Earnings</t>
  </si>
  <si>
    <t>Ordinary Shares</t>
  </si>
  <si>
    <t>Right Of Use - Commercial Equipment Ifrs16</t>
  </si>
  <si>
    <t>Right Of Use - Other Leased Assets Ifrs16</t>
  </si>
  <si>
    <t>Right Of Use Depn - Commercial Equipment Ifrs16</t>
  </si>
  <si>
    <t>Right Of Use Depn - Other Leased Assets Ifrs16</t>
  </si>
  <si>
    <t>Fixed Assets WIP</t>
  </si>
  <si>
    <t>CC02040101</t>
  </si>
  <si>
    <t>RECEIVABLES FROM PARENT COMPANIES</t>
  </si>
  <si>
    <t>January 2024</t>
  </si>
  <si>
    <t xml:space="preserve">BUSINESS PLAN 2024 - PROFIT &amp; LOSS </t>
  </si>
  <si>
    <t>HH02010116</t>
  </si>
  <si>
    <t>VAT ADVANCE TO CUSTOM AUTHORITIES</t>
  </si>
  <si>
    <t>MM03010104</t>
  </si>
  <si>
    <t>RETURN  ON GOODS OTHERS SALES</t>
  </si>
  <si>
    <t>NN11020109</t>
  </si>
  <si>
    <t>VAT NON RECOVERABLE</t>
  </si>
  <si>
    <t>HH08010107</t>
  </si>
  <si>
    <t>OLD RBI EUR ACCOUNT</t>
  </si>
  <si>
    <t>CC02010112</t>
  </si>
  <si>
    <t>CC02010113</t>
  </si>
  <si>
    <t>CC02010114</t>
  </si>
  <si>
    <t>CC02010115</t>
  </si>
  <si>
    <t>CC02050103</t>
  </si>
  <si>
    <t>CC02050308</t>
  </si>
  <si>
    <t>CC02050312</t>
  </si>
  <si>
    <t>CC04010114</t>
  </si>
  <si>
    <t>HH02010115</t>
  </si>
  <si>
    <t>HH03010117</t>
  </si>
  <si>
    <t>HH08010106</t>
  </si>
  <si>
    <t>II01010102</t>
  </si>
  <si>
    <t>ZZ202</t>
  </si>
  <si>
    <t>NN07010102</t>
  </si>
  <si>
    <t>NN08010110</t>
  </si>
  <si>
    <t>NN11020103</t>
  </si>
  <si>
    <t>PP01040107</t>
  </si>
  <si>
    <t>A. FOR TRAVEL EXPENSES,DAILY ALLOW.ADV.</t>
  </si>
  <si>
    <t>VAT DEBIT DE</t>
  </si>
  <si>
    <t>VAT DEBIT FR</t>
  </si>
  <si>
    <t>DB USD CLEARING</t>
  </si>
  <si>
    <t>OUTPUT VAT PERIOD</t>
  </si>
  <si>
    <t>HEALTH CARE PROVISION</t>
  </si>
  <si>
    <t>OLD RBI GBP ACCOUNT</t>
  </si>
  <si>
    <t>ACCRUED EXPENSES &gt; 12 MONTHS</t>
  </si>
  <si>
    <t>CUSTO ACCOUNT</t>
  </si>
  <si>
    <t>OTHER MATERIAL ( CLEANING, HEALTHY, SIGNALS )</t>
  </si>
  <si>
    <t>PURCHASING OF DRINK AND FOOD (STAFF AND ONSITE LUNCHES)</t>
  </si>
  <si>
    <t>BUSINESS LUNCH AND DINNERS (ENTERTAINMENT)</t>
  </si>
  <si>
    <t>CAR RENT LONT TERM</t>
  </si>
  <si>
    <t>DIFFERENCES ON PROV/CONS SURCHARGES</t>
  </si>
  <si>
    <t>EXCISE LICENCE</t>
  </si>
  <si>
    <t>RATE EXCHANGE FOR RISK COMPENSATION</t>
  </si>
  <si>
    <t>Taxation</t>
  </si>
  <si>
    <t>NN01010301</t>
  </si>
  <si>
    <t>PROVISION FOR FINISHED PRODUCTS OBSOLESCENCE</t>
  </si>
  <si>
    <t>Puma</t>
  </si>
  <si>
    <t>February 2024</t>
  </si>
  <si>
    <t>March 2024</t>
  </si>
  <si>
    <t>EE01010102</t>
  </si>
  <si>
    <t>PREPAID DIVIDEND</t>
  </si>
  <si>
    <t>HH03010105</t>
  </si>
  <si>
    <t>HH03010110</t>
  </si>
  <si>
    <t>PRIVATE PENSION PROVISION</t>
  </si>
  <si>
    <t>MM01010103</t>
  </si>
  <si>
    <t>DISCOUNT ON SALES MATERIALS OWN PRODUCTION</t>
  </si>
  <si>
    <t>NN08010103</t>
  </si>
  <si>
    <t>UTILIZATION OVERTIME</t>
  </si>
  <si>
    <t>NN08010121</t>
  </si>
  <si>
    <t>MBO - CONSUMPTION</t>
  </si>
  <si>
    <t>April 2024</t>
  </si>
  <si>
    <t>May 2024</t>
  </si>
  <si>
    <t>Jun 2024</t>
  </si>
  <si>
    <t>NN02030104</t>
  </si>
  <si>
    <t>MAINTENANCE NON STOCK PARTS</t>
  </si>
  <si>
    <t>Jul 2024</t>
  </si>
  <si>
    <t>Aug 2024</t>
  </si>
  <si>
    <t>Sep 2024</t>
  </si>
  <si>
    <t>Stock - R</t>
  </si>
  <si>
    <t>Budget</t>
  </si>
  <si>
    <t>MM02060601</t>
  </si>
  <si>
    <t>FG TRADING SALES FROM PORT</t>
  </si>
  <si>
    <t>MM02060607</t>
  </si>
  <si>
    <t>RECHARGE OUTGOING FREIGHT COST FG TRADING (freight)</t>
  </si>
  <si>
    <t>Oct 2024</t>
  </si>
  <si>
    <t>Nov 2024</t>
  </si>
  <si>
    <t>NN02020104</t>
  </si>
  <si>
    <t>EQUIPMENT IN USE</t>
  </si>
  <si>
    <t>MM04010101</t>
  </si>
  <si>
    <t>OTHER SERVICES REVENUES</t>
  </si>
  <si>
    <t>HH13010101</t>
  </si>
  <si>
    <t>DEBTS FROM AFFILIATED AND CONTROLED COMPANIES FOR INVOICES TO PAY</t>
  </si>
  <si>
    <t>HH14010101</t>
  </si>
  <si>
    <t>DEBTS FROM PARENT COMPANIES FOR INVOICES TO PAY</t>
  </si>
  <si>
    <t>Dec  2024</t>
  </si>
  <si>
    <t>NN06010304</t>
  </si>
  <si>
    <t xml:space="preserve">Other Services </t>
  </si>
  <si>
    <t>COST PER TONNE - 2024</t>
  </si>
  <si>
    <t>YTD DEC</t>
  </si>
  <si>
    <t>Full cost of production £/t</t>
  </si>
  <si>
    <t>Including</t>
  </si>
  <si>
    <t>Transformation cost (no overheads)</t>
  </si>
  <si>
    <t>Sales and administration costs</t>
  </si>
  <si>
    <t>Finance and other costs</t>
  </si>
  <si>
    <t>Slab cost (including yield)</t>
  </si>
  <si>
    <t>Despatch tonnes</t>
  </si>
  <si>
    <t>Production tonnes</t>
  </si>
  <si>
    <t>Consumption tonnes</t>
  </si>
  <si>
    <t>index relative to budget</t>
  </si>
  <si>
    <t>FINANCE AND OTHER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</si>
</sst>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1" formatCode="_-* #,##0_-;\-* #,##0_-;_-* &quot;-&quot;_-;_-@_-"/>
    <numFmt numFmtId="43" formatCode="_-* #,##0.00_-;\-* #,##0.00_-;_-* &quot;-&quot;??_-;_-@_-"/>
    <numFmt numFmtId="164" formatCode="#,##0.000_ ;\-#,##0.000\ "/>
    <numFmt numFmtId="165" formatCode="#,##0_ ;\-#,##0\ "/>
    <numFmt numFmtId="166" formatCode="#,##0_);[Red]\(#,##0\);\-_)"/>
    <numFmt numFmtId="167" formatCode="#,##0.00_);[Red]\(#,##0.00\);\-_)"/>
    <numFmt numFmtId="168" formatCode="0;[Red]0"/>
    <numFmt numFmtId="170" formatCode="#,##0.0000_);[Red]\(#,##0.0000\);\-_)"/>
    <numFmt numFmtId="171" formatCode="#,##0_ ;[Red]\-#,##0\ "/>
    <numFmt numFmtId="172" formatCode="#,##0.0000_ ;\-#,##0.0000\ "/>
    <numFmt numFmtId="173" formatCode="0.0000"/>
    <numFmt numFmtId="174" formatCode="0.000"/>
    <numFmt numFmtId="175" formatCode="_-* #,##0.000_-;\-* #,##0.000_-;_-* &quot;-&quot;??_-;_-@_-"/>
  </numFmts>
  <fonts count="35" x14ac:knownFonts="1">
    <font>
      <sz val="10"/>
      <name val="Comic Sans MS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mic Sans MS"/>
      <family val="4"/>
    </font>
    <font>
      <b/>
      <u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u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Comic Sans MS"/>
      <family val="4"/>
    </font>
    <font>
      <sz val="10"/>
      <name val="Comic Sans MS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8"/>
      <name val="Comic Sans MS"/>
      <family val="4"/>
    </font>
    <font>
      <sz val="10"/>
      <color rgb="FFFF0000"/>
      <name val="Comic Sans MS"/>
      <family val="4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3">
    <xf numFmtId="0" fontId="0" fillId="0" borderId="0"/>
    <xf numFmtId="41" fontId="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0" fillId="0" borderId="0"/>
    <xf numFmtId="0" fontId="14" fillId="0" borderId="0"/>
    <xf numFmtId="0" fontId="13" fillId="0" borderId="0"/>
    <xf numFmtId="3" fontId="9" fillId="0" borderId="0"/>
    <xf numFmtId="0" fontId="2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/>
    <xf numFmtId="43" fontId="24" fillId="0" borderId="0" applyFont="0" applyFill="0" applyBorder="0" applyAlignment="0" applyProtection="0"/>
    <xf numFmtId="0" fontId="27" fillId="0" borderId="0"/>
    <xf numFmtId="41" fontId="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52">
    <xf numFmtId="0" fontId="0" fillId="0" borderId="0" xfId="0"/>
    <xf numFmtId="0" fontId="3" fillId="0" borderId="1" xfId="10" applyFont="1" applyBorder="1" applyAlignment="1">
      <alignment horizontal="left"/>
    </xf>
    <xf numFmtId="0" fontId="2" fillId="0" borderId="0" xfId="10"/>
    <xf numFmtId="0" fontId="3" fillId="0" borderId="2" xfId="10" applyFont="1" applyBorder="1" applyAlignment="1">
      <alignment horizontal="left" wrapText="1"/>
    </xf>
    <xf numFmtId="0" fontId="2" fillId="0" borderId="0" xfId="10" applyAlignment="1">
      <alignment wrapText="1"/>
    </xf>
    <xf numFmtId="164" fontId="2" fillId="0" borderId="0" xfId="1" applyNumberFormat="1" applyFont="1" applyFill="1"/>
    <xf numFmtId="165" fontId="2" fillId="0" borderId="0" xfId="1" applyNumberFormat="1" applyFont="1" applyFill="1"/>
    <xf numFmtId="0" fontId="3" fillId="0" borderId="0" xfId="10" applyFont="1"/>
    <xf numFmtId="166" fontId="3" fillId="0" borderId="0" xfId="1" applyNumberFormat="1" applyFont="1" applyFill="1" applyAlignment="1">
      <alignment horizontal="right"/>
    </xf>
    <xf numFmtId="166" fontId="3" fillId="0" borderId="0" xfId="1" applyNumberFormat="1" applyFont="1" applyFill="1"/>
    <xf numFmtId="0" fontId="2" fillId="0" borderId="0" xfId="0" applyFont="1"/>
    <xf numFmtId="166" fontId="2" fillId="0" borderId="0" xfId="1" applyNumberFormat="1" applyFont="1" applyFill="1"/>
    <xf numFmtId="166" fontId="2" fillId="0" borderId="0" xfId="1" applyNumberFormat="1" applyFont="1" applyFill="1" applyBorder="1"/>
    <xf numFmtId="166" fontId="2" fillId="0" borderId="0" xfId="1" applyNumberFormat="1" applyFont="1" applyFill="1" applyBorder="1" applyAlignment="1">
      <alignment horizontal="right"/>
    </xf>
    <xf numFmtId="166" fontId="2" fillId="0" borderId="3" xfId="1" applyNumberFormat="1" applyFont="1" applyFill="1" applyBorder="1" applyAlignment="1">
      <alignment horizontal="right"/>
    </xf>
    <xf numFmtId="166" fontId="2" fillId="0" borderId="3" xfId="1" applyNumberFormat="1" applyFont="1" applyFill="1" applyBorder="1"/>
    <xf numFmtId="0" fontId="3" fillId="0" borderId="0" xfId="0" applyFont="1"/>
    <xf numFmtId="166" fontId="3" fillId="0" borderId="0" xfId="1" applyNumberFormat="1" applyFont="1" applyFill="1" applyBorder="1"/>
    <xf numFmtId="0" fontId="6" fillId="0" borderId="0" xfId="0" applyFont="1"/>
    <xf numFmtId="0" fontId="7" fillId="0" borderId="0" xfId="10" applyFont="1"/>
    <xf numFmtId="0" fontId="8" fillId="0" borderId="0" xfId="0" applyFont="1"/>
    <xf numFmtId="166" fontId="8" fillId="0" borderId="0" xfId="1" applyNumberFormat="1" applyFont="1" applyFill="1" applyAlignment="1">
      <alignment horizontal="right"/>
    </xf>
    <xf numFmtId="166" fontId="8" fillId="2" borderId="6" xfId="1" applyNumberFormat="1" applyFont="1" applyFill="1" applyBorder="1"/>
    <xf numFmtId="166" fontId="8" fillId="0" borderId="0" xfId="1" applyNumberFormat="1" applyFont="1" applyFill="1" applyBorder="1"/>
    <xf numFmtId="166" fontId="8" fillId="0" borderId="0" xfId="1" applyNumberFormat="1" applyFont="1" applyFill="1" applyBorder="1" applyAlignment="1">
      <alignment horizontal="right"/>
    </xf>
    <xf numFmtId="166" fontId="2" fillId="0" borderId="0" xfId="10" applyNumberFormat="1"/>
    <xf numFmtId="166" fontId="6" fillId="0" borderId="0" xfId="1" applyNumberFormat="1" applyFont="1" applyFill="1" applyBorder="1" applyAlignment="1">
      <alignment horizontal="right"/>
    </xf>
    <xf numFmtId="166" fontId="7" fillId="0" borderId="0" xfId="10" applyNumberFormat="1" applyFont="1"/>
    <xf numFmtId="166" fontId="7" fillId="0" borderId="0" xfId="1" applyNumberFormat="1" applyFont="1" applyFill="1" applyBorder="1" applyAlignment="1">
      <alignment horizontal="right"/>
    </xf>
    <xf numFmtId="0" fontId="7" fillId="0" borderId="0" xfId="0" applyFont="1"/>
    <xf numFmtId="0" fontId="8" fillId="0" borderId="4" xfId="0" applyFont="1" applyBorder="1"/>
    <xf numFmtId="166" fontId="8" fillId="0" borderId="6" xfId="1" applyNumberFormat="1" applyFont="1" applyFill="1" applyBorder="1"/>
    <xf numFmtId="166" fontId="8" fillId="0" borderId="0" xfId="1" applyNumberFormat="1" applyFont="1" applyFill="1"/>
    <xf numFmtId="0" fontId="3" fillId="2" borderId="7" xfId="0" applyFont="1" applyFill="1" applyBorder="1"/>
    <xf numFmtId="166" fontId="8" fillId="2" borderId="8" xfId="1" applyNumberFormat="1" applyFont="1" applyFill="1" applyBorder="1"/>
    <xf numFmtId="166" fontId="8" fillId="2" borderId="9" xfId="1" applyNumberFormat="1" applyFont="1" applyFill="1" applyBorder="1"/>
    <xf numFmtId="0" fontId="8" fillId="2" borderId="7" xfId="0" applyFont="1" applyFill="1" applyBorder="1"/>
    <xf numFmtId="166" fontId="2" fillId="0" borderId="0" xfId="0" applyNumberFormat="1" applyFont="1"/>
    <xf numFmtId="0" fontId="2" fillId="0" borderId="0" xfId="10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0" fontId="2" fillId="0" borderId="0" xfId="10" applyAlignment="1">
      <alignment vertical="center" wrapText="1"/>
    </xf>
    <xf numFmtId="166" fontId="2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167" fontId="2" fillId="0" borderId="0" xfId="0" applyNumberFormat="1" applyFont="1"/>
    <xf numFmtId="167" fontId="2" fillId="0" borderId="0" xfId="0" applyNumberFormat="1" applyFont="1" applyAlignment="1">
      <alignment horizontal="right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8" fontId="16" fillId="0" borderId="0" xfId="0" applyNumberFormat="1" applyFont="1"/>
    <xf numFmtId="0" fontId="2" fillId="0" borderId="0" xfId="0" applyFont="1" applyAlignment="1">
      <alignment wrapText="1"/>
    </xf>
    <xf numFmtId="0" fontId="11" fillId="0" borderId="0" xfId="10" applyFont="1"/>
    <xf numFmtId="166" fontId="5" fillId="0" borderId="0" xfId="0" applyNumberFormat="1" applyFont="1"/>
    <xf numFmtId="166" fontId="2" fillId="0" borderId="0" xfId="0" applyNumberFormat="1" applyFont="1" applyAlignment="1">
      <alignment wrapText="1"/>
    </xf>
    <xf numFmtId="166" fontId="3" fillId="0" borderId="0" xfId="0" applyNumberFormat="1" applyFont="1"/>
    <xf numFmtId="166" fontId="5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6" fontId="5" fillId="0" borderId="0" xfId="10" applyNumberFormat="1" applyFont="1" applyAlignment="1">
      <alignment horizontal="left" vertical="center"/>
    </xf>
    <xf numFmtId="166" fontId="5" fillId="0" borderId="0" xfId="10" applyNumberFormat="1" applyFont="1" applyAlignment="1">
      <alignment horizontal="left" wrapText="1"/>
    </xf>
    <xf numFmtId="166" fontId="3" fillId="0" borderId="5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5" xfId="0" applyNumberFormat="1" applyFont="1" applyBorder="1"/>
    <xf numFmtId="170" fontId="2" fillId="0" borderId="0" xfId="0" applyNumberFormat="1" applyFont="1" applyAlignment="1">
      <alignment horizontal="right"/>
    </xf>
    <xf numFmtId="166" fontId="2" fillId="3" borderId="0" xfId="0" applyNumberFormat="1" applyFont="1" applyFill="1" applyAlignment="1">
      <alignment horizontal="right"/>
    </xf>
    <xf numFmtId="166" fontId="2" fillId="3" borderId="3" xfId="0" applyNumberFormat="1" applyFont="1" applyFill="1" applyBorder="1" applyAlignment="1">
      <alignment horizontal="right"/>
    </xf>
    <xf numFmtId="166" fontId="3" fillId="3" borderId="0" xfId="0" applyNumberFormat="1" applyFont="1" applyFill="1" applyAlignment="1">
      <alignment horizontal="right"/>
    </xf>
    <xf numFmtId="0" fontId="12" fillId="0" borderId="0" xfId="10" applyFont="1" applyAlignment="1">
      <alignment horizontal="left"/>
    </xf>
    <xf numFmtId="166" fontId="12" fillId="0" borderId="0" xfId="10" applyNumberFormat="1" applyFont="1" applyAlignment="1">
      <alignment horizontal="left" vertical="center"/>
    </xf>
    <xf numFmtId="166" fontId="12" fillId="0" borderId="0" xfId="10" applyNumberFormat="1" applyFont="1" applyAlignment="1">
      <alignment horizontal="left" wrapText="1"/>
    </xf>
    <xf numFmtId="166" fontId="2" fillId="0" borderId="18" xfId="1" applyNumberFormat="1" applyFont="1" applyFill="1" applyBorder="1" applyAlignment="1">
      <alignment horizontal="right"/>
    </xf>
    <xf numFmtId="167" fontId="2" fillId="0" borderId="0" xfId="1" applyNumberFormat="1" applyFont="1" applyFill="1" applyBorder="1" applyAlignment="1">
      <alignment horizontal="right"/>
    </xf>
    <xf numFmtId="167" fontId="3" fillId="0" borderId="8" xfId="1" applyNumberFormat="1" applyFont="1" applyFill="1" applyBorder="1" applyAlignment="1">
      <alignment horizontal="right"/>
    </xf>
    <xf numFmtId="1" fontId="3" fillId="0" borderId="14" xfId="6" applyNumberFormat="1" applyFont="1" applyBorder="1" applyAlignment="1">
      <alignment horizontal="center" vertical="center" wrapText="1"/>
    </xf>
    <xf numFmtId="0" fontId="2" fillId="0" borderId="22" xfId="0" applyFont="1" applyBorder="1"/>
    <xf numFmtId="0" fontId="2" fillId="0" borderId="23" xfId="0" applyFont="1" applyBorder="1"/>
    <xf numFmtId="167" fontId="2" fillId="0" borderId="13" xfId="0" applyNumberFormat="1" applyFont="1" applyBorder="1" applyAlignment="1">
      <alignment horizontal="right"/>
    </xf>
    <xf numFmtId="167" fontId="2" fillId="4" borderId="18" xfId="0" applyNumberFormat="1" applyFont="1" applyFill="1" applyBorder="1"/>
    <xf numFmtId="168" fontId="15" fillId="4" borderId="18" xfId="0" applyNumberFormat="1" applyFont="1" applyFill="1" applyBorder="1" applyAlignment="1">
      <alignment horizontal="left"/>
    </xf>
    <xf numFmtId="0" fontId="2" fillId="4" borderId="18" xfId="0" applyFont="1" applyFill="1" applyBorder="1"/>
    <xf numFmtId="0" fontId="2" fillId="0" borderId="12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17" fontId="2" fillId="4" borderId="21" xfId="0" applyNumberFormat="1" applyFont="1" applyFill="1" applyBorder="1"/>
    <xf numFmtId="167" fontId="2" fillId="0" borderId="12" xfId="0" applyNumberFormat="1" applyFont="1" applyBorder="1" applyAlignment="1">
      <alignment horizontal="right"/>
    </xf>
    <xf numFmtId="3" fontId="0" fillId="0" borderId="0" xfId="0" applyNumberFormat="1"/>
    <xf numFmtId="0" fontId="4" fillId="0" borderId="0" xfId="0" applyFont="1"/>
    <xf numFmtId="3" fontId="17" fillId="0" borderId="0" xfId="0" applyNumberFormat="1" applyFont="1"/>
    <xf numFmtId="171" fontId="0" fillId="0" borderId="0" xfId="0" applyNumberFormat="1"/>
    <xf numFmtId="0" fontId="17" fillId="0" borderId="0" xfId="0" applyFont="1"/>
    <xf numFmtId="9" fontId="0" fillId="0" borderId="0" xfId="13" applyFont="1"/>
    <xf numFmtId="9" fontId="17" fillId="0" borderId="0" xfId="13" applyFont="1"/>
    <xf numFmtId="164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/>
    <xf numFmtId="0" fontId="3" fillId="5" borderId="1" xfId="10" applyFont="1" applyFill="1" applyBorder="1" applyAlignment="1">
      <alignment horizontal="left"/>
    </xf>
    <xf numFmtId="0" fontId="3" fillId="5" borderId="2" xfId="10" applyFont="1" applyFill="1" applyBorder="1" applyAlignment="1">
      <alignment horizontal="left" wrapText="1"/>
    </xf>
    <xf numFmtId="172" fontId="8" fillId="0" borderId="0" xfId="1" applyNumberFormat="1" applyFont="1" applyFill="1" applyAlignment="1">
      <alignment horizontal="right"/>
    </xf>
    <xf numFmtId="166" fontId="2" fillId="4" borderId="0" xfId="1" applyNumberFormat="1" applyFont="1" applyFill="1"/>
    <xf numFmtId="166" fontId="2" fillId="4" borderId="0" xfId="1" applyNumberFormat="1" applyFont="1" applyFill="1" applyBorder="1" applyAlignment="1">
      <alignment horizontal="right"/>
    </xf>
    <xf numFmtId="166" fontId="2" fillId="4" borderId="0" xfId="1" applyNumberFormat="1" applyFont="1" applyFill="1" applyBorder="1"/>
    <xf numFmtId="166" fontId="8" fillId="4" borderId="0" xfId="1" applyNumberFormat="1" applyFont="1" applyFill="1" applyAlignment="1">
      <alignment horizontal="right"/>
    </xf>
    <xf numFmtId="166" fontId="8" fillId="4" borderId="0" xfId="1" applyNumberFormat="1" applyFont="1" applyFill="1" applyBorder="1"/>
    <xf numFmtId="166" fontId="7" fillId="4" borderId="0" xfId="1" applyNumberFormat="1" applyFont="1" applyFill="1" applyBorder="1" applyAlignment="1">
      <alignment horizontal="right"/>
    </xf>
    <xf numFmtId="166" fontId="8" fillId="4" borderId="0" xfId="1" applyNumberFormat="1" applyFont="1" applyFill="1"/>
    <xf numFmtId="166" fontId="8" fillId="4" borderId="8" xfId="1" applyNumberFormat="1" applyFont="1" applyFill="1" applyBorder="1"/>
    <xf numFmtId="164" fontId="3" fillId="5" borderId="0" xfId="1" applyNumberFormat="1" applyFont="1" applyFill="1" applyAlignment="1">
      <alignment horizontal="center"/>
    </xf>
    <xf numFmtId="166" fontId="3" fillId="5" borderId="0" xfId="1" applyNumberFormat="1" applyFont="1" applyFill="1" applyAlignment="1">
      <alignment horizontal="right"/>
    </xf>
    <xf numFmtId="166" fontId="3" fillId="5" borderId="0" xfId="1" applyNumberFormat="1" applyFont="1" applyFill="1"/>
    <xf numFmtId="166" fontId="2" fillId="5" borderId="0" xfId="1" applyNumberFormat="1" applyFont="1" applyFill="1"/>
    <xf numFmtId="166" fontId="2" fillId="5" borderId="0" xfId="1" applyNumberFormat="1" applyFont="1" applyFill="1" applyBorder="1" applyAlignment="1">
      <alignment horizontal="right"/>
    </xf>
    <xf numFmtId="166" fontId="2" fillId="5" borderId="3" xfId="1" applyNumberFormat="1" applyFont="1" applyFill="1" applyBorder="1" applyAlignment="1">
      <alignment horizontal="right"/>
    </xf>
    <xf numFmtId="166" fontId="3" fillId="5" borderId="0" xfId="1" applyNumberFormat="1" applyFont="1" applyFill="1" applyBorder="1"/>
    <xf numFmtId="166" fontId="6" fillId="5" borderId="0" xfId="1" applyNumberFormat="1" applyFont="1" applyFill="1" applyBorder="1"/>
    <xf numFmtId="166" fontId="2" fillId="5" borderId="0" xfId="1" applyNumberFormat="1" applyFont="1" applyFill="1" applyBorder="1"/>
    <xf numFmtId="166" fontId="8" fillId="5" borderId="0" xfId="1" applyNumberFormat="1" applyFont="1" applyFill="1" applyAlignment="1">
      <alignment horizontal="right"/>
    </xf>
    <xf numFmtId="166" fontId="8" fillId="5" borderId="0" xfId="1" applyNumberFormat="1" applyFont="1" applyFill="1" applyBorder="1"/>
    <xf numFmtId="166" fontId="6" fillId="5" borderId="0" xfId="1" applyNumberFormat="1" applyFont="1" applyFill="1" applyBorder="1" applyAlignment="1">
      <alignment horizontal="right"/>
    </xf>
    <xf numFmtId="166" fontId="7" fillId="5" borderId="0" xfId="1" applyNumberFormat="1" applyFont="1" applyFill="1" applyBorder="1" applyAlignment="1">
      <alignment horizontal="right"/>
    </xf>
    <xf numFmtId="166" fontId="8" fillId="5" borderId="0" xfId="1" applyNumberFormat="1" applyFont="1" applyFill="1"/>
    <xf numFmtId="166" fontId="8" fillId="5" borderId="8" xfId="1" applyNumberFormat="1" applyFont="1" applyFill="1" applyBorder="1"/>
    <xf numFmtId="166" fontId="2" fillId="5" borderId="3" xfId="1" applyNumberFormat="1" applyFont="1" applyFill="1" applyBorder="1"/>
    <xf numFmtId="166" fontId="2" fillId="5" borderId="0" xfId="0" applyNumberFormat="1" applyFont="1" applyFill="1"/>
    <xf numFmtId="165" fontId="2" fillId="5" borderId="0" xfId="1" applyNumberFormat="1" applyFont="1" applyFill="1"/>
    <xf numFmtId="164" fontId="2" fillId="5" borderId="0" xfId="1" applyNumberFormat="1" applyFont="1" applyFill="1"/>
    <xf numFmtId="172" fontId="3" fillId="5" borderId="0" xfId="1" applyNumberFormat="1" applyFont="1" applyFill="1" applyAlignment="1">
      <alignment horizontal="right"/>
    </xf>
    <xf numFmtId="166" fontId="2" fillId="5" borderId="0" xfId="1" applyNumberFormat="1" applyFont="1" applyFill="1" applyBorder="1" applyAlignment="1"/>
    <xf numFmtId="3" fontId="2" fillId="5" borderId="0" xfId="1" applyNumberFormat="1" applyFont="1" applyFill="1"/>
    <xf numFmtId="164" fontId="2" fillId="0" borderId="2" xfId="1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vertical="center"/>
    </xf>
    <xf numFmtId="165" fontId="2" fillId="0" borderId="2" xfId="1" applyNumberFormat="1" applyFont="1" applyFill="1" applyBorder="1" applyAlignment="1">
      <alignment vertical="center" wrapText="1"/>
    </xf>
    <xf numFmtId="164" fontId="2" fillId="5" borderId="2" xfId="1" applyNumberFormat="1" applyFont="1" applyFill="1" applyBorder="1" applyAlignment="1">
      <alignment vertical="center" wrapText="1"/>
    </xf>
    <xf numFmtId="0" fontId="3" fillId="6" borderId="13" xfId="10" applyFont="1" applyFill="1" applyBorder="1"/>
    <xf numFmtId="0" fontId="2" fillId="6" borderId="13" xfId="10" applyFill="1" applyBorder="1"/>
    <xf numFmtId="167" fontId="2" fillId="6" borderId="13" xfId="10" applyNumberFormat="1" applyFill="1" applyBorder="1"/>
    <xf numFmtId="167" fontId="3" fillId="6" borderId="13" xfId="10" applyNumberFormat="1" applyFont="1" applyFill="1" applyBorder="1"/>
    <xf numFmtId="0" fontId="7" fillId="6" borderId="13" xfId="10" applyFont="1" applyFill="1" applyBorder="1"/>
    <xf numFmtId="0" fontId="2" fillId="6" borderId="11" xfId="10" applyFill="1" applyBorder="1"/>
    <xf numFmtId="0" fontId="3" fillId="6" borderId="30" xfId="10" applyFont="1" applyFill="1" applyBorder="1"/>
    <xf numFmtId="166" fontId="3" fillId="0" borderId="12" xfId="1" applyNumberFormat="1" applyFont="1" applyFill="1" applyBorder="1" applyAlignment="1">
      <alignment horizontal="right"/>
    </xf>
    <xf numFmtId="166" fontId="2" fillId="0" borderId="17" xfId="1" applyNumberFormat="1" applyFont="1" applyFill="1" applyBorder="1" applyAlignment="1">
      <alignment horizontal="right"/>
    </xf>
    <xf numFmtId="166" fontId="2" fillId="0" borderId="12" xfId="1" applyNumberFormat="1" applyFont="1" applyFill="1" applyBorder="1" applyAlignment="1">
      <alignment horizontal="right"/>
    </xf>
    <xf numFmtId="167" fontId="2" fillId="0" borderId="12" xfId="1" applyNumberFormat="1" applyFont="1" applyFill="1" applyBorder="1" applyAlignment="1">
      <alignment horizontal="right"/>
    </xf>
    <xf numFmtId="166" fontId="8" fillId="0" borderId="12" xfId="1" applyNumberFormat="1" applyFont="1" applyFill="1" applyBorder="1" applyAlignment="1">
      <alignment horizontal="right"/>
    </xf>
    <xf numFmtId="0" fontId="2" fillId="6" borderId="13" xfId="10" applyFill="1" applyBorder="1" applyAlignment="1">
      <alignment horizontal="center" vertical="center" wrapText="1"/>
    </xf>
    <xf numFmtId="0" fontId="3" fillId="0" borderId="11" xfId="10" applyFont="1" applyBorder="1" applyAlignment="1">
      <alignment horizontal="left"/>
    </xf>
    <xf numFmtId="0" fontId="3" fillId="0" borderId="13" xfId="10" applyFont="1" applyBorder="1" applyAlignment="1">
      <alignment horizontal="left" vertical="center" wrapText="1"/>
    </xf>
    <xf numFmtId="0" fontId="3" fillId="0" borderId="13" xfId="10" applyFont="1" applyBorder="1"/>
    <xf numFmtId="0" fontId="3" fillId="0" borderId="11" xfId="10" applyFont="1" applyBorder="1"/>
    <xf numFmtId="0" fontId="3" fillId="0" borderId="30" xfId="10" applyFont="1" applyBorder="1"/>
    <xf numFmtId="0" fontId="5" fillId="0" borderId="13" xfId="10" applyFont="1" applyBorder="1"/>
    <xf numFmtId="0" fontId="2" fillId="0" borderId="13" xfId="0" applyFont="1" applyBorder="1"/>
    <xf numFmtId="0" fontId="3" fillId="0" borderId="13" xfId="0" applyFont="1" applyBorder="1"/>
    <xf numFmtId="0" fontId="8" fillId="0" borderId="13" xfId="0" applyFont="1" applyBorder="1"/>
    <xf numFmtId="0" fontId="5" fillId="0" borderId="13" xfId="0" applyFont="1" applyBorder="1"/>
    <xf numFmtId="0" fontId="7" fillId="0" borderId="13" xfId="0" applyFont="1" applyBorder="1"/>
    <xf numFmtId="0" fontId="3" fillId="0" borderId="10" xfId="0" applyFont="1" applyBorder="1"/>
    <xf numFmtId="0" fontId="3" fillId="0" borderId="10" xfId="10" applyFont="1" applyBorder="1"/>
    <xf numFmtId="0" fontId="2" fillId="0" borderId="11" xfId="0" applyFont="1" applyBorder="1"/>
    <xf numFmtId="0" fontId="8" fillId="0" borderId="30" xfId="0" applyFont="1" applyBorder="1"/>
    <xf numFmtId="166" fontId="8" fillId="0" borderId="19" xfId="1" applyNumberFormat="1" applyFont="1" applyFill="1" applyBorder="1" applyAlignment="1">
      <alignment horizontal="right"/>
    </xf>
    <xf numFmtId="164" fontId="21" fillId="0" borderId="0" xfId="14" applyNumberFormat="1" applyFill="1" applyBorder="1" applyAlignment="1">
      <alignment horizontal="center" vertical="center"/>
    </xf>
    <xf numFmtId="0" fontId="3" fillId="6" borderId="13" xfId="10" applyFont="1" applyFill="1" applyBorder="1" applyAlignment="1">
      <alignment horizontal="center"/>
    </xf>
    <xf numFmtId="166" fontId="3" fillId="0" borderId="12" xfId="1" applyNumberFormat="1" applyFont="1" applyFill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0" fontId="21" fillId="0" borderId="0" xfId="14" applyBorder="1" applyAlignment="1">
      <alignment horizontal="center" vertical="center" wrapText="1"/>
    </xf>
    <xf numFmtId="166" fontId="8" fillId="0" borderId="20" xfId="1" applyNumberFormat="1" applyFont="1" applyFill="1" applyBorder="1" applyAlignment="1">
      <alignment horizontal="right"/>
    </xf>
    <xf numFmtId="167" fontId="2" fillId="6" borderId="0" xfId="0" applyNumberFormat="1" applyFont="1" applyFill="1"/>
    <xf numFmtId="168" fontId="16" fillId="6" borderId="0" xfId="0" applyNumberFormat="1" applyFont="1" applyFill="1"/>
    <xf numFmtId="0" fontId="2" fillId="6" borderId="0" xfId="0" applyFont="1" applyFill="1"/>
    <xf numFmtId="167" fontId="2" fillId="6" borderId="8" xfId="0" applyNumberFormat="1" applyFont="1" applyFill="1" applyBorder="1"/>
    <xf numFmtId="166" fontId="2" fillId="6" borderId="0" xfId="0" applyNumberFormat="1" applyFont="1" applyFill="1" applyAlignment="1">
      <alignment horizontal="right"/>
    </xf>
    <xf numFmtId="170" fontId="2" fillId="6" borderId="0" xfId="0" applyNumberFormat="1" applyFont="1" applyFill="1" applyAlignment="1">
      <alignment horizontal="right"/>
    </xf>
    <xf numFmtId="167" fontId="5" fillId="6" borderId="0" xfId="0" applyNumberFormat="1" applyFont="1" applyFill="1" applyAlignment="1">
      <alignment horizontal="left"/>
    </xf>
    <xf numFmtId="167" fontId="2" fillId="6" borderId="0" xfId="0" applyNumberFormat="1" applyFont="1" applyFill="1" applyAlignment="1">
      <alignment horizontal="left"/>
    </xf>
    <xf numFmtId="0" fontId="3" fillId="6" borderId="7" xfId="0" applyFont="1" applyFill="1" applyBorder="1" applyAlignment="1">
      <alignment horizontal="left"/>
    </xf>
    <xf numFmtId="0" fontId="5" fillId="6" borderId="0" xfId="0" applyFont="1" applyFill="1" applyAlignment="1">
      <alignment horizontal="left"/>
    </xf>
    <xf numFmtId="0" fontId="3" fillId="6" borderId="0" xfId="0" applyFont="1" applyFill="1" applyAlignment="1">
      <alignment horizontal="left"/>
    </xf>
    <xf numFmtId="167" fontId="3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/>
    <xf numFmtId="0" fontId="3" fillId="0" borderId="1" xfId="10" applyFont="1" applyBorder="1"/>
    <xf numFmtId="165" fontId="2" fillId="0" borderId="5" xfId="1" applyNumberFormat="1" applyFont="1" applyFill="1" applyBorder="1"/>
    <xf numFmtId="167" fontId="2" fillId="0" borderId="30" xfId="0" applyNumberFormat="1" applyFont="1" applyBorder="1" applyAlignment="1">
      <alignment horizontal="right"/>
    </xf>
    <xf numFmtId="0" fontId="0" fillId="0" borderId="35" xfId="0" applyBorder="1"/>
    <xf numFmtId="167" fontId="2" fillId="0" borderId="13" xfId="0" applyNumberFormat="1" applyFont="1" applyBorder="1"/>
    <xf numFmtId="167" fontId="2" fillId="11" borderId="0" xfId="0" applyNumberFormat="1" applyFont="1" applyFill="1" applyAlignment="1">
      <alignment horizontal="right"/>
    </xf>
    <xf numFmtId="166" fontId="2" fillId="11" borderId="0" xfId="0" applyNumberFormat="1" applyFont="1" applyFill="1" applyAlignment="1">
      <alignment horizontal="right"/>
    </xf>
    <xf numFmtId="43" fontId="0" fillId="0" borderId="0" xfId="17" applyFont="1"/>
    <xf numFmtId="166" fontId="3" fillId="0" borderId="3" xfId="1" applyNumberFormat="1" applyFont="1" applyFill="1" applyBorder="1" applyAlignment="1">
      <alignment horizontal="right"/>
    </xf>
    <xf numFmtId="166" fontId="25" fillId="0" borderId="0" xfId="1" applyNumberFormat="1" applyFont="1" applyFill="1" applyBorder="1"/>
    <xf numFmtId="166" fontId="25" fillId="0" borderId="0" xfId="1" applyNumberFormat="1" applyFont="1" applyFill="1" applyBorder="1" applyAlignment="1">
      <alignment horizontal="right"/>
    </xf>
    <xf numFmtId="166" fontId="26" fillId="0" borderId="0" xfId="1" applyNumberFormat="1" applyFont="1" applyFill="1" applyBorder="1" applyAlignment="1">
      <alignment horizontal="right"/>
    </xf>
    <xf numFmtId="9" fontId="8" fillId="0" borderId="0" xfId="11" applyFont="1" applyFill="1"/>
    <xf numFmtId="166" fontId="3" fillId="0" borderId="3" xfId="1" applyNumberFormat="1" applyFont="1" applyFill="1" applyBorder="1"/>
    <xf numFmtId="165" fontId="3" fillId="0" borderId="0" xfId="1" applyNumberFormat="1" applyFont="1" applyFill="1"/>
    <xf numFmtId="167" fontId="2" fillId="0" borderId="15" xfId="10" applyNumberFormat="1" applyBorder="1" applyAlignment="1">
      <alignment horizontal="right"/>
    </xf>
    <xf numFmtId="9" fontId="2" fillId="0" borderId="0" xfId="13" applyFont="1" applyAlignment="1">
      <alignment horizontal="right"/>
    </xf>
    <xf numFmtId="0" fontId="29" fillId="0" borderId="0" xfId="0" applyFont="1"/>
    <xf numFmtId="0" fontId="0" fillId="0" borderId="4" xfId="0" applyBorder="1"/>
    <xf numFmtId="0" fontId="28" fillId="0" borderId="35" xfId="0" applyFont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8" fillId="0" borderId="37" xfId="0" applyFont="1" applyBorder="1" applyAlignment="1">
      <alignment horizontal="center" wrapText="1"/>
    </xf>
    <xf numFmtId="0" fontId="28" fillId="0" borderId="38" xfId="0" applyFont="1" applyBorder="1" applyAlignment="1">
      <alignment horizontal="center" wrapText="1"/>
    </xf>
    <xf numFmtId="0" fontId="0" fillId="0" borderId="16" xfId="0" quotePrefix="1" applyBorder="1"/>
    <xf numFmtId="0" fontId="0" fillId="10" borderId="27" xfId="0" applyFill="1" applyBorder="1"/>
    <xf numFmtId="0" fontId="0" fillId="10" borderId="39" xfId="0" applyFill="1" applyBorder="1"/>
    <xf numFmtId="3" fontId="30" fillId="10" borderId="2" xfId="0" applyNumberFormat="1" applyFont="1" applyFill="1" applyBorder="1"/>
    <xf numFmtId="3" fontId="30" fillId="10" borderId="40" xfId="0" applyNumberFormat="1" applyFont="1" applyFill="1" applyBorder="1"/>
    <xf numFmtId="3" fontId="30" fillId="10" borderId="39" xfId="0" applyNumberFormat="1" applyFont="1" applyFill="1" applyBorder="1"/>
    <xf numFmtId="3" fontId="0" fillId="10" borderId="40" xfId="0" applyNumberFormat="1" applyFill="1" applyBorder="1"/>
    <xf numFmtId="0" fontId="28" fillId="0" borderId="0" xfId="0" applyFont="1" applyAlignment="1">
      <alignment horizontal="center" wrapText="1"/>
    </xf>
    <xf numFmtId="168" fontId="11" fillId="0" borderId="12" xfId="0" applyNumberFormat="1" applyFont="1" applyBorder="1" applyAlignment="1">
      <alignment horizontal="left"/>
    </xf>
    <xf numFmtId="167" fontId="15" fillId="0" borderId="0" xfId="0" applyNumberFormat="1" applyFont="1" applyAlignment="1">
      <alignment horizontal="left"/>
    </xf>
    <xf numFmtId="168" fontId="2" fillId="0" borderId="12" xfId="0" applyNumberFormat="1" applyFont="1" applyBorder="1" applyAlignment="1">
      <alignment horizontal="left"/>
    </xf>
    <xf numFmtId="167" fontId="2" fillId="0" borderId="0" xfId="0" applyNumberFormat="1" applyFont="1" applyAlignment="1">
      <alignment horizontal="left"/>
    </xf>
    <xf numFmtId="167" fontId="2" fillId="0" borderId="20" xfId="0" applyNumberFormat="1" applyFont="1" applyBorder="1" applyAlignment="1">
      <alignment horizontal="left"/>
    </xf>
    <xf numFmtId="168" fontId="2" fillId="0" borderId="19" xfId="0" applyNumberFormat="1" applyFont="1" applyBorder="1" applyAlignment="1">
      <alignment horizontal="left"/>
    </xf>
    <xf numFmtId="168" fontId="2" fillId="0" borderId="0" xfId="0" applyNumberFormat="1" applyFont="1" applyAlignment="1">
      <alignment horizontal="left"/>
    </xf>
    <xf numFmtId="167" fontId="3" fillId="0" borderId="31" xfId="0" applyNumberFormat="1" applyFont="1" applyBorder="1" applyAlignment="1">
      <alignment horizontal="right"/>
    </xf>
    <xf numFmtId="0" fontId="31" fillId="12" borderId="0" xfId="0" applyFont="1" applyFill="1"/>
    <xf numFmtId="167" fontId="31" fillId="12" borderId="0" xfId="0" applyNumberFormat="1" applyFont="1" applyFill="1"/>
    <xf numFmtId="0" fontId="32" fillId="12" borderId="0" xfId="0" applyFont="1" applyFill="1"/>
    <xf numFmtId="167" fontId="3" fillId="0" borderId="0" xfId="0" applyNumberFormat="1" applyFont="1"/>
    <xf numFmtId="164" fontId="3" fillId="5" borderId="1" xfId="1" applyNumberFormat="1" applyFont="1" applyFill="1" applyBorder="1" applyAlignment="1">
      <alignment horizontal="center" vertical="center" wrapText="1"/>
    </xf>
    <xf numFmtId="0" fontId="4" fillId="0" borderId="16" xfId="0" quotePrefix="1" applyFont="1" applyBorder="1"/>
    <xf numFmtId="2" fontId="2" fillId="11" borderId="0" xfId="0" applyNumberFormat="1" applyFont="1" applyFill="1" applyAlignment="1">
      <alignment horizontal="left"/>
    </xf>
    <xf numFmtId="10" fontId="2" fillId="0" borderId="0" xfId="13" applyNumberFormat="1" applyFont="1"/>
    <xf numFmtId="166" fontId="8" fillId="2" borderId="42" xfId="1" applyNumberFormat="1" applyFont="1" applyFill="1" applyBorder="1"/>
    <xf numFmtId="166" fontId="8" fillId="0" borderId="42" xfId="1" applyNumberFormat="1" applyFont="1" applyFill="1" applyBorder="1"/>
    <xf numFmtId="172" fontId="3" fillId="13" borderId="0" xfId="1" applyNumberFormat="1" applyFont="1" applyFill="1" applyAlignment="1">
      <alignment horizontal="right"/>
    </xf>
    <xf numFmtId="166" fontId="8" fillId="4" borderId="42" xfId="1" applyNumberFormat="1" applyFont="1" applyFill="1" applyBorder="1"/>
    <xf numFmtId="165" fontId="2" fillId="10" borderId="0" xfId="1" applyNumberFormat="1" applyFont="1" applyFill="1"/>
    <xf numFmtId="17" fontId="0" fillId="0" borderId="0" xfId="0" applyNumberFormat="1"/>
    <xf numFmtId="0" fontId="2" fillId="0" borderId="35" xfId="0" applyFont="1" applyBorder="1"/>
    <xf numFmtId="17" fontId="2" fillId="0" borderId="35" xfId="0" applyNumberFormat="1" applyFont="1" applyBorder="1"/>
    <xf numFmtId="0" fontId="2" fillId="8" borderId="0" xfId="0" applyFont="1" applyFill="1"/>
    <xf numFmtId="0" fontId="2" fillId="0" borderId="43" xfId="0" applyFont="1" applyBorder="1"/>
    <xf numFmtId="43" fontId="0" fillId="0" borderId="0" xfId="17" applyFont="1" applyFill="1"/>
    <xf numFmtId="174" fontId="2" fillId="11" borderId="0" xfId="0" applyNumberFormat="1" applyFont="1" applyFill="1" applyAlignment="1">
      <alignment horizontal="right"/>
    </xf>
    <xf numFmtId="43" fontId="0" fillId="0" borderId="43" xfId="17" applyFont="1" applyBorder="1"/>
    <xf numFmtId="4" fontId="2" fillId="0" borderId="35" xfId="0" applyNumberFormat="1" applyFont="1" applyBorder="1"/>
    <xf numFmtId="173" fontId="2" fillId="11" borderId="0" xfId="0" applyNumberFormat="1" applyFont="1" applyFill="1" applyAlignment="1">
      <alignment horizontal="right"/>
    </xf>
    <xf numFmtId="4" fontId="0" fillId="0" borderId="0" xfId="0" applyNumberFormat="1"/>
    <xf numFmtId="166" fontId="8" fillId="5" borderId="42" xfId="1" applyNumberFormat="1" applyFont="1" applyFill="1" applyBorder="1"/>
    <xf numFmtId="167" fontId="2" fillId="5" borderId="35" xfId="10" applyNumberFormat="1" applyFill="1" applyBorder="1" applyAlignment="1">
      <alignment horizontal="right"/>
    </xf>
    <xf numFmtId="166" fontId="2" fillId="5" borderId="35" xfId="10" applyNumberFormat="1" applyFill="1" applyBorder="1" applyAlignment="1">
      <alignment horizontal="right"/>
    </xf>
    <xf numFmtId="17" fontId="0" fillId="0" borderId="16" xfId="0" quotePrefix="1" applyNumberFormat="1" applyBorder="1"/>
    <xf numFmtId="166" fontId="2" fillId="4" borderId="41" xfId="1" applyNumberFormat="1" applyFont="1" applyFill="1" applyBorder="1"/>
    <xf numFmtId="0" fontId="5" fillId="4" borderId="10" xfId="0" applyFont="1" applyFill="1" applyBorder="1" applyAlignment="1">
      <alignment horizontal="left" wrapText="1"/>
    </xf>
    <xf numFmtId="0" fontId="5" fillId="4" borderId="10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2" fillId="0" borderId="20" xfId="0" applyFont="1" applyBorder="1"/>
    <xf numFmtId="0" fontId="31" fillId="0" borderId="13" xfId="0" applyFont="1" applyBorder="1"/>
    <xf numFmtId="0" fontId="2" fillId="0" borderId="30" xfId="0" applyFont="1" applyBorder="1"/>
    <xf numFmtId="0" fontId="2" fillId="0" borderId="10" xfId="0" applyFont="1" applyBorder="1"/>
    <xf numFmtId="0" fontId="2" fillId="0" borderId="7" xfId="0" applyFont="1" applyBorder="1" applyAlignment="1">
      <alignment horizontal="left"/>
    </xf>
    <xf numFmtId="0" fontId="2" fillId="0" borderId="9" xfId="0" applyFont="1" applyBorder="1"/>
    <xf numFmtId="167" fontId="2" fillId="0" borderId="7" xfId="0" applyNumberFormat="1" applyFont="1" applyBorder="1" applyAlignment="1">
      <alignment horizontal="right"/>
    </xf>
    <xf numFmtId="167" fontId="2" fillId="0" borderId="10" xfId="0" applyNumberFormat="1" applyFont="1" applyBorder="1" applyAlignment="1">
      <alignment horizontal="right"/>
    </xf>
    <xf numFmtId="167" fontId="2" fillId="0" borderId="10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7" xfId="0" applyFont="1" applyBorder="1"/>
    <xf numFmtId="168" fontId="2" fillId="3" borderId="10" xfId="0" applyNumberFormat="1" applyFont="1" applyFill="1" applyBorder="1" applyAlignment="1">
      <alignment horizontal="center" vertical="center"/>
    </xf>
    <xf numFmtId="43" fontId="4" fillId="0" borderId="0" xfId="17" applyFont="1" applyFill="1"/>
    <xf numFmtId="43" fontId="0" fillId="0" borderId="0" xfId="0" applyNumberFormat="1"/>
    <xf numFmtId="3" fontId="30" fillId="10" borderId="2" xfId="31" applyNumberFormat="1" applyFont="1" applyFill="1" applyBorder="1"/>
    <xf numFmtId="3" fontId="30" fillId="10" borderId="40" xfId="31" applyNumberFormat="1" applyFont="1" applyFill="1" applyBorder="1"/>
    <xf numFmtId="3" fontId="30" fillId="10" borderId="39" xfId="31" applyNumberFormat="1" applyFont="1" applyFill="1" applyBorder="1"/>
    <xf numFmtId="3" fontId="1" fillId="10" borderId="40" xfId="31" applyNumberFormat="1" applyFill="1" applyBorder="1"/>
    <xf numFmtId="0" fontId="1" fillId="10" borderId="39" xfId="31" applyFill="1" applyBorder="1"/>
    <xf numFmtId="43" fontId="0" fillId="0" borderId="0" xfId="27" applyFont="1" applyFill="1"/>
    <xf numFmtId="0" fontId="0" fillId="14" borderId="0" xfId="0" applyFill="1"/>
    <xf numFmtId="4" fontId="2" fillId="0" borderId="0" xfId="0" applyNumberFormat="1" applyFont="1"/>
    <xf numFmtId="4" fontId="2" fillId="0" borderId="43" xfId="0" applyNumberFormat="1" applyFont="1" applyBorder="1"/>
    <xf numFmtId="0" fontId="0" fillId="15" borderId="0" xfId="0" applyFill="1"/>
    <xf numFmtId="0" fontId="0" fillId="16" borderId="0" xfId="0" applyFill="1"/>
    <xf numFmtId="0" fontId="4" fillId="16" borderId="0" xfId="0" applyFont="1" applyFill="1"/>
    <xf numFmtId="0" fontId="0" fillId="17" borderId="0" xfId="0" applyFill="1"/>
    <xf numFmtId="0" fontId="0" fillId="18" borderId="0" xfId="0" applyFill="1"/>
    <xf numFmtId="17" fontId="4" fillId="0" borderId="16" xfId="0" quotePrefix="1" applyNumberFormat="1" applyFont="1" applyBorder="1"/>
    <xf numFmtId="43" fontId="0" fillId="11" borderId="0" xfId="17" applyFont="1" applyFill="1"/>
    <xf numFmtId="175" fontId="4" fillId="0" borderId="0" xfId="17" applyNumberFormat="1" applyFont="1" applyFill="1" applyBorder="1"/>
    <xf numFmtId="175" fontId="0" fillId="0" borderId="0" xfId="17" applyNumberFormat="1" applyFont="1" applyFill="1" applyBorder="1"/>
    <xf numFmtId="175" fontId="4" fillId="0" borderId="0" xfId="17" applyNumberFormat="1" applyFont="1" applyFill="1" applyBorder="1" applyAlignment="1">
      <alignment horizontal="left"/>
    </xf>
    <xf numFmtId="175" fontId="4" fillId="0" borderId="0" xfId="0" applyNumberFormat="1" applyFont="1" applyAlignment="1">
      <alignment horizontal="left"/>
    </xf>
    <xf numFmtId="175" fontId="0" fillId="0" borderId="0" xfId="0" applyNumberFormat="1" applyAlignment="1">
      <alignment horizontal="left"/>
    </xf>
    <xf numFmtId="43" fontId="0" fillId="16" borderId="0" xfId="17" applyFont="1" applyFill="1"/>
    <xf numFmtId="43" fontId="4" fillId="16" borderId="0" xfId="17" applyFont="1" applyFill="1"/>
    <xf numFmtId="0" fontId="0" fillId="0" borderId="26" xfId="0" applyBorder="1"/>
    <xf numFmtId="0" fontId="0" fillId="0" borderId="27" xfId="0" applyBorder="1"/>
    <xf numFmtId="0" fontId="0" fillId="0" borderId="3" xfId="0" applyBorder="1"/>
    <xf numFmtId="0" fontId="0" fillId="0" borderId="25" xfId="0" applyBorder="1"/>
    <xf numFmtId="0" fontId="0" fillId="0" borderId="41" xfId="0" applyBorder="1"/>
    <xf numFmtId="43" fontId="0" fillId="0" borderId="29" xfId="0" applyNumberFormat="1" applyBorder="1"/>
    <xf numFmtId="43" fontId="0" fillId="0" borderId="24" xfId="0" applyNumberFormat="1" applyBorder="1"/>
    <xf numFmtId="43" fontId="0" fillId="0" borderId="28" xfId="0" applyNumberFormat="1" applyBorder="1"/>
    <xf numFmtId="4" fontId="4" fillId="0" borderId="0" xfId="17" applyNumberFormat="1" applyFont="1" applyFill="1" applyBorder="1"/>
    <xf numFmtId="4" fontId="0" fillId="0" borderId="0" xfId="17" applyNumberFormat="1" applyFont="1" applyFill="1" applyBorder="1"/>
    <xf numFmtId="4" fontId="0" fillId="0" borderId="0" xfId="17" applyNumberFormat="1" applyFont="1" applyFill="1"/>
    <xf numFmtId="0" fontId="0" fillId="5" borderId="0" xfId="0" applyFill="1"/>
    <xf numFmtId="43" fontId="0" fillId="5" borderId="0" xfId="17" applyFont="1" applyFill="1"/>
    <xf numFmtId="43" fontId="4" fillId="5" borderId="0" xfId="17" applyFont="1" applyFill="1"/>
    <xf numFmtId="4" fontId="0" fillId="0" borderId="0" xfId="17" applyNumberFormat="1" applyFont="1"/>
    <xf numFmtId="0" fontId="2" fillId="16" borderId="12" xfId="0" applyFont="1" applyFill="1" applyBorder="1" applyAlignment="1">
      <alignment horizontal="left"/>
    </xf>
    <xf numFmtId="3" fontId="34" fillId="0" borderId="0" xfId="0" applyNumberFormat="1" applyFont="1"/>
    <xf numFmtId="4" fontId="0" fillId="16" borderId="0" xfId="17" applyNumberFormat="1" applyFont="1" applyFill="1" applyBorder="1"/>
    <xf numFmtId="4" fontId="0" fillId="5" borderId="0" xfId="17" applyNumberFormat="1" applyFont="1" applyFill="1" applyBorder="1"/>
    <xf numFmtId="0" fontId="0" fillId="11" borderId="0" xfId="0" applyFill="1"/>
    <xf numFmtId="43" fontId="4" fillId="11" borderId="0" xfId="17" applyFont="1" applyFill="1"/>
    <xf numFmtId="4" fontId="0" fillId="11" borderId="0" xfId="17" applyNumberFormat="1" applyFont="1" applyFill="1" applyBorder="1"/>
    <xf numFmtId="175" fontId="0" fillId="10" borderId="0" xfId="17" applyNumberFormat="1" applyFont="1" applyFill="1" applyBorder="1"/>
    <xf numFmtId="175" fontId="0" fillId="16" borderId="0" xfId="17" applyNumberFormat="1" applyFont="1" applyFill="1" applyBorder="1"/>
    <xf numFmtId="4" fontId="0" fillId="14" borderId="0" xfId="17" applyNumberFormat="1" applyFont="1" applyFill="1" applyBorder="1"/>
    <xf numFmtId="175" fontId="34" fillId="0" borderId="0" xfId="17" applyNumberFormat="1" applyFont="1" applyFill="1" applyBorder="1"/>
    <xf numFmtId="4" fontId="0" fillId="9" borderId="0" xfId="17" applyNumberFormat="1" applyFont="1" applyFill="1" applyBorder="1"/>
    <xf numFmtId="0" fontId="4" fillId="9" borderId="0" xfId="0" applyFont="1" applyFill="1"/>
    <xf numFmtId="43" fontId="0" fillId="9" borderId="0" xfId="17" applyFont="1" applyFill="1"/>
    <xf numFmtId="43" fontId="4" fillId="9" borderId="0" xfId="17" applyFont="1" applyFill="1"/>
    <xf numFmtId="0" fontId="0" fillId="9" borderId="0" xfId="0" applyFill="1"/>
    <xf numFmtId="4" fontId="0" fillId="17" borderId="0" xfId="17" applyNumberFormat="1" applyFont="1" applyFill="1" applyBorder="1"/>
    <xf numFmtId="4" fontId="0" fillId="18" borderId="0" xfId="17" applyNumberFormat="1" applyFont="1" applyFill="1" applyBorder="1"/>
    <xf numFmtId="175" fontId="0" fillId="18" borderId="0" xfId="17" applyNumberFormat="1" applyFont="1" applyFill="1" applyBorder="1"/>
    <xf numFmtId="167" fontId="3" fillId="8" borderId="7" xfId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 wrapText="1"/>
    </xf>
    <xf numFmtId="164" fontId="2" fillId="5" borderId="2" xfId="1" applyNumberFormat="1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/>
    </xf>
    <xf numFmtId="164" fontId="2" fillId="5" borderId="2" xfId="1" applyNumberFormat="1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  <xf numFmtId="0" fontId="28" fillId="0" borderId="33" xfId="0" applyFont="1" applyBorder="1" applyAlignment="1">
      <alignment horizontal="center"/>
    </xf>
    <xf numFmtId="0" fontId="0" fillId="0" borderId="34" xfId="0" applyBorder="1"/>
    <xf numFmtId="0" fontId="0" fillId="0" borderId="36" xfId="0" applyBorder="1"/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1" fontId="3" fillId="0" borderId="0" xfId="10" applyNumberFormat="1" applyFont="1"/>
    <xf numFmtId="166" fontId="2" fillId="8" borderId="0" xfId="1" applyNumberFormat="1" applyFont="1" applyFill="1" applyBorder="1" applyAlignment="1">
      <alignment horizontal="right"/>
    </xf>
    <xf numFmtId="166" fontId="2" fillId="7" borderId="0" xfId="1" applyNumberFormat="1" applyFont="1" applyFill="1" applyBorder="1" applyAlignment="1">
      <alignment horizontal="right"/>
    </xf>
    <xf numFmtId="166" fontId="2" fillId="0" borderId="32" xfId="1" applyNumberFormat="1" applyFont="1" applyFill="1" applyBorder="1" applyAlignment="1">
      <alignment horizontal="right"/>
    </xf>
    <xf numFmtId="166" fontId="3" fillId="8" borderId="7" xfId="1" applyNumberFormat="1" applyFont="1" applyFill="1" applyBorder="1" applyAlignment="1">
      <alignment horizontal="right"/>
    </xf>
    <xf numFmtId="166" fontId="3" fillId="0" borderId="8" xfId="1" applyNumberFormat="1" applyFont="1" applyFill="1" applyBorder="1" applyAlignment="1">
      <alignment horizontal="right"/>
    </xf>
    <xf numFmtId="166" fontId="2" fillId="0" borderId="19" xfId="1" applyNumberFormat="1" applyFont="1" applyFill="1" applyBorder="1" applyAlignment="1">
      <alignment horizontal="right"/>
    </xf>
    <xf numFmtId="166" fontId="2" fillId="0" borderId="20" xfId="1" applyNumberFormat="1" applyFont="1" applyFill="1" applyBorder="1" applyAlignment="1">
      <alignment horizontal="right"/>
    </xf>
    <xf numFmtId="166" fontId="3" fillId="0" borderId="0" xfId="10" applyNumberFormat="1" applyFont="1" applyAlignment="1">
      <alignment horizontal="right"/>
    </xf>
    <xf numFmtId="166" fontId="2" fillId="0" borderId="0" xfId="1" applyNumberFormat="1" applyFont="1" applyFill="1" applyAlignment="1">
      <alignment horizontal="right"/>
    </xf>
    <xf numFmtId="1" fontId="2" fillId="0" borderId="35" xfId="0" applyNumberFormat="1" applyFont="1" applyBorder="1" applyAlignment="1">
      <alignment horizontal="center" vertical="center"/>
    </xf>
  </cellXfs>
  <cellStyles count="33">
    <cellStyle name="Comma" xfId="17" builtinId="3"/>
    <cellStyle name="Comma [0]" xfId="1" builtinId="6"/>
    <cellStyle name="Comma [0] 2" xfId="2" xr:uid="{00000000-0005-0000-0000-000002000000}"/>
    <cellStyle name="Comma [0] 2 2" xfId="20" xr:uid="{5E9DA606-7E49-44E2-9BA9-27609C3D8045}"/>
    <cellStyle name="Comma [0] 3" xfId="19" xr:uid="{C8512C7D-01DE-450C-8757-5BA1E12183AF}"/>
    <cellStyle name="Comma 2" xfId="27" xr:uid="{7EC50F93-CDB5-48D7-8722-4DCF445E44F5}"/>
    <cellStyle name="Comma 3" xfId="30" xr:uid="{6EB76D6A-CC53-4D3E-8337-59159A7819E6}"/>
    <cellStyle name="Comma 4" xfId="24" xr:uid="{F6DB14AB-CA79-48CE-916C-E8CC593599A9}"/>
    <cellStyle name="Comma 5" xfId="29" xr:uid="{9D0278C0-473B-42E9-8317-1FA8432BD0BD}"/>
    <cellStyle name="Comma 6" xfId="22" xr:uid="{3B00957C-BA51-4A01-B240-7FF468C1650F}"/>
    <cellStyle name="Heading 4" xfId="14" builtinId="19"/>
    <cellStyle name="Normal" xfId="0" builtinId="0"/>
    <cellStyle name="Normal 10" xfId="31" xr:uid="{9A08A0AA-3237-42B4-91EC-8F0AB2A8F813}"/>
    <cellStyle name="Normal 2" xfId="3" xr:uid="{00000000-0005-0000-0000-000005000000}"/>
    <cellStyle name="Normal 2 2" xfId="4" xr:uid="{00000000-0005-0000-0000-000006000000}"/>
    <cellStyle name="Normal 3" xfId="5" xr:uid="{00000000-0005-0000-0000-000007000000}"/>
    <cellStyle name="Normal 4" xfId="6" xr:uid="{00000000-0005-0000-0000-000008000000}"/>
    <cellStyle name="Normal 4 2" xfId="21" xr:uid="{E70CAF4D-F9E6-43FE-A167-8D8E63342CF9}"/>
    <cellStyle name="Normal 5" xfId="7" xr:uid="{00000000-0005-0000-0000-000009000000}"/>
    <cellStyle name="Normal 6" xfId="8" xr:uid="{00000000-0005-0000-0000-00000A000000}"/>
    <cellStyle name="Normal 6 2" xfId="23" xr:uid="{0F40DED5-E611-44B7-8EB5-E50B59B6F48E}"/>
    <cellStyle name="Normal 7" xfId="15" xr:uid="{00000000-0005-0000-0000-00000B000000}"/>
    <cellStyle name="Normal 7 2" xfId="25" xr:uid="{F01D8A86-C57D-4653-B406-86B774782106}"/>
    <cellStyle name="Normal 8" xfId="16" xr:uid="{00000000-0005-0000-0000-00000C000000}"/>
    <cellStyle name="Normal 8 2" xfId="26" xr:uid="{E6FE7006-6CA7-41AA-BBAD-83065A757A58}"/>
    <cellStyle name="Normal 9" xfId="18" xr:uid="{00000000-0005-0000-0000-00000D000000}"/>
    <cellStyle name="Normal 9 2" xfId="28" xr:uid="{E9A10EFC-BFAE-4AE5-92BD-BF5F4703490C}"/>
    <cellStyle name="Normale_flu_cas" xfId="9" xr:uid="{00000000-0005-0000-0000-00000E000000}"/>
    <cellStyle name="Normale_MODELLI" xfId="10" xr:uid="{00000000-0005-0000-0000-00000F000000}"/>
    <cellStyle name="Percent" xfId="13" builtinId="5"/>
    <cellStyle name="Percent 2" xfId="11" xr:uid="{00000000-0005-0000-0000-000011000000}"/>
    <cellStyle name="Percent 3" xfId="12" xr:uid="{00000000-0005-0000-0000-000012000000}"/>
    <cellStyle name="Percent 4" xfId="32" xr:uid="{1434D65A-6F8C-4A89-9ECF-8924E4C5C58B}"/>
  </cellStyles>
  <dxfs count="1">
    <dxf>
      <fill>
        <patternFill patternType="solid">
          <fgColor rgb="FF95B3D7"/>
          <bgColor rgb="FF000000"/>
        </patternFill>
      </fill>
    </dxf>
  </dxfs>
  <tableStyles count="1" defaultTableStyle="TableStyleMedium9" defaultPivotStyle="PivotStyleLight16">
    <tableStyle name="Invisible" pivot="0" table="0" count="0" xr9:uid="{9C898926-BDAC-42BE-9FA3-AA8B56381F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a Cromarty" refreshedDate="45454.657138310184" createdVersion="8" refreshedVersion="8" minRefreshableVersion="3" recordCount="201" xr:uid="{53095378-FA37-4B30-B387-E85B45D90444}">
  <cacheSource type="worksheet">
    <worksheetSource ref="D2:S210" sheet="Input TB"/>
  </cacheSource>
  <cacheFields count="16">
    <cacheField name="P&amp;L Category" numFmtId="0">
      <sharedItems containsBlank="1" count="31">
        <s v="EXCLUDE"/>
        <m/>
        <s v="Net Plate Sales"/>
        <s v="Transport"/>
        <s v="Commissions"/>
        <s v="Net Sales"/>
        <s v="Scrap"/>
        <s v="Other Revenue"/>
        <s v="Slab Cost"/>
        <s v="Puma"/>
        <s v="Transport."/>
        <s v="Insurance"/>
        <s v="Agents Commission"/>
        <s v="Trading Transport"/>
        <s v="Trading Materials"/>
        <s v="Consumables"/>
        <s v="Utilities"/>
        <s v="Payroll"/>
        <s v="Health &amp; Safety"/>
        <s v="Emissions"/>
        <s v="External Services"/>
        <s v="Maintenance"/>
        <s v="Overheads"/>
        <s v="Depreciation"/>
        <s v="Plate Stock Variation"/>
        <s v="Foreign Exchange"/>
        <s v="MISA"/>
        <s v="RBI"/>
        <s v="Leases"/>
        <s v="Bad Debt"/>
        <s v="Taxation"/>
      </sharedItems>
    </cacheField>
    <cacheField name="AS400 Code" numFmtId="0">
      <sharedItems containsBlank="1"/>
    </cacheField>
    <cacheField name="Description" numFmtId="0">
      <sharedItems containsBlank="1"/>
    </cacheField>
    <cacheField name="Jan" numFmtId="167">
      <sharedItems containsString="0" containsBlank="1" containsNumber="1" minValue="-26330455" maxValue="22450570.809999999"/>
    </cacheField>
    <cacheField name="Feb" numFmtId="167">
      <sharedItems containsString="0" containsBlank="1" containsNumber="1" minValue="-11600192.560000001" maxValue="10001734.529999999"/>
    </cacheField>
    <cacheField name="Mar" numFmtId="167">
      <sharedItems containsString="0" containsBlank="1" containsNumber="1" minValue="-10309770.439999998" maxValue="7595408.1799999997"/>
    </cacheField>
    <cacheField name="Apr" numFmtId="167">
      <sharedItems containsString="0" containsBlank="1" containsNumber="1" minValue="-9703903.2699999996" maxValue="10909089.189999999"/>
    </cacheField>
    <cacheField name="May" numFmtId="167">
      <sharedItems containsString="0" containsBlank="1" containsNumber="1" minValue="-9587638.0800000001" maxValue="5653076.3300000001"/>
    </cacheField>
    <cacheField name="Jun" numFmtId="167">
      <sharedItems containsString="0" containsBlank="1" containsNumber="1" containsInteger="1" minValue="0" maxValue="15"/>
    </cacheField>
    <cacheField name="Jul" numFmtId="167">
      <sharedItems containsString="0" containsBlank="1" containsNumber="1" containsInteger="1" minValue="0" maxValue="17"/>
    </cacheField>
    <cacheField name="Aug" numFmtId="167">
      <sharedItems containsString="0" containsBlank="1" containsNumber="1" containsInteger="1" minValue="0" maxValue="19"/>
    </cacheField>
    <cacheField name="Sep" numFmtId="167">
      <sharedItems containsString="0" containsBlank="1" containsNumber="1" containsInteger="1" minValue="0" maxValue="21"/>
    </cacheField>
    <cacheField name="Oct" numFmtId="167">
      <sharedItems containsString="0" containsBlank="1" containsNumber="1" containsInteger="1" minValue="0" maxValue="23"/>
    </cacheField>
    <cacheField name="Nov" numFmtId="167">
      <sharedItems containsString="0" containsBlank="1" containsNumber="1" containsInteger="1" minValue="0" maxValue="25"/>
    </cacheField>
    <cacheField name="Dec" numFmtId="167">
      <sharedItems containsString="0" containsBlank="1" containsNumber="1" containsInteger="1" minValue="0" maxValue="27"/>
    </cacheField>
    <cacheField name="P&amp;L Group" numFmtId="0">
      <sharedItems containsBlank="1" count="10">
        <s v="EXCLUDE"/>
        <m/>
        <s v="Revenue"/>
        <s v="IC Trading"/>
        <s v="Cost of Sales"/>
        <s v="Selling Costs"/>
        <s v="Payroll"/>
        <s v="Admin Costs"/>
        <s v="Other Operating Expenses"/>
        <s v="Finance Cost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sa Cromarty" refreshedDate="45454.657138310184" createdVersion="8" refreshedVersion="8" minRefreshableVersion="3" recordCount="286" xr:uid="{6FA5F40C-82CB-4209-932D-5E089D8AAB34}">
  <cacheSource type="worksheet">
    <worksheetSource ref="A1:V1048576" sheet="TB (H)"/>
  </cacheSource>
  <cacheFields count="17">
    <cacheField name="G/L Acct/BP Code" numFmtId="0">
      <sharedItems containsBlank="1"/>
    </cacheField>
    <cacheField name="Name" numFmtId="0">
      <sharedItems containsBlank="1"/>
    </cacheField>
    <cacheField name="Jan" numFmtId="43">
      <sharedItems containsString="0" containsBlank="1" containsNumber="1" minValue="-79164962.219999999" maxValue="45681886.640000001"/>
    </cacheField>
    <cacheField name="Feb" numFmtId="43">
      <sharedItems containsString="0" containsBlank="1" containsNumber="1" minValue="-79164962.219999999" maxValue="49474279.57"/>
    </cacheField>
    <cacheField name="Mar" numFmtId="43">
      <sharedItems containsString="0" containsBlank="1" containsNumber="1" minValue="-79164962.219999999" maxValue="52787896.280000001"/>
    </cacheField>
    <cacheField name="Apr" numFmtId="43">
      <sharedItems containsString="0" containsBlank="1" containsNumber="1" minValue="-79164962.219999999" maxValue="51490244.240000002"/>
    </cacheField>
    <cacheField name="May" numFmtId="43">
      <sharedItems containsString="0" containsBlank="1" containsNumber="1" minValue="-79164962.219999999" maxValue="49774302.920000002"/>
    </cacheField>
    <cacheField name="Jun" numFmtId="43">
      <sharedItems containsNonDate="0" containsString="0" containsBlank="1"/>
    </cacheField>
    <cacheField name="Jul" numFmtId="43">
      <sharedItems containsString="0" containsBlank="1" containsNumber="1" containsInteger="1" minValue="0" maxValue="0"/>
    </cacheField>
    <cacheField name="Aug" numFmtId="43">
      <sharedItems containsString="0" containsBlank="1" containsNumber="1" containsInteger="1" minValue="0" maxValue="0"/>
    </cacheField>
    <cacheField name="Sep" numFmtId="43">
      <sharedItems containsString="0" containsBlank="1" containsNumber="1" containsInteger="1" minValue="0" maxValue="0"/>
    </cacheField>
    <cacheField name="Oct" numFmtId="43">
      <sharedItems containsString="0" containsBlank="1" containsNumber="1" containsInteger="1" minValue="0" maxValue="0"/>
    </cacheField>
    <cacheField name="Nov" numFmtId="43">
      <sharedItems containsString="0" containsBlank="1" containsNumber="1" containsInteger="1" minValue="0" maxValue="0"/>
    </cacheField>
    <cacheField name="Dec" numFmtId="43">
      <sharedItems containsString="0" containsBlank="1" containsNumber="1" containsInteger="1" minValue="0" maxValue="0"/>
    </cacheField>
    <cacheField name="Drawer" numFmtId="0">
      <sharedItems containsBlank="1" count="5">
        <s v="Fixed Assets"/>
        <s v="Current Assets"/>
        <m/>
        <s v="Current Liabilities"/>
        <s v="Captial and Reserves"/>
      </sharedItems>
    </cacheField>
    <cacheField name="Section" numFmtId="0">
      <sharedItems containsBlank="1" containsMixedTypes="1" containsNumber="1" containsInteger="1" minValue="0" maxValue="0" count="17">
        <s v="Intangible Fixed Assets"/>
        <s v="Fixed Assets WIP"/>
        <s v="Tangible Fixed Assets"/>
        <s v="Prepayments and Accrued income"/>
        <s v="Stock"/>
        <s v="Trade Debtors"/>
        <m/>
        <s v="VAT"/>
        <s v="Taxes"/>
        <s v="Cash at Bank"/>
        <s v="Trade Creditors"/>
        <s v="Loans"/>
        <s v="Accruals and Deferred Income"/>
        <s v="Reserves and Retained Earnings"/>
        <s v="Called up share capital"/>
        <s v="Net profit (loss (-)) for the period"/>
        <n v="0" u="1"/>
      </sharedItems>
    </cacheField>
    <cacheField name="Line" numFmtId="0">
      <sharedItems containsBlank="1"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">
  <r>
    <x v="0"/>
    <m/>
    <s v="Column"/>
    <n v="5"/>
    <n v="7"/>
    <n v="9"/>
    <n v="11"/>
    <n v="13"/>
    <n v="15"/>
    <n v="17"/>
    <n v="19"/>
    <n v="21"/>
    <n v="23"/>
    <n v="25"/>
    <n v="27"/>
    <x v="0"/>
  </r>
  <r>
    <x v="1"/>
    <m/>
    <m/>
    <m/>
    <m/>
    <m/>
    <m/>
    <m/>
    <m/>
    <m/>
    <m/>
    <m/>
    <m/>
    <m/>
    <m/>
    <x v="1"/>
  </r>
  <r>
    <x v="1"/>
    <m/>
    <m/>
    <m/>
    <m/>
    <m/>
    <m/>
    <m/>
    <m/>
    <m/>
    <m/>
    <m/>
    <m/>
    <m/>
    <m/>
    <x v="1"/>
  </r>
  <r>
    <x v="1"/>
    <m/>
    <m/>
    <m/>
    <m/>
    <m/>
    <m/>
    <m/>
    <m/>
    <m/>
    <m/>
    <m/>
    <m/>
    <m/>
    <m/>
    <x v="1"/>
  </r>
  <r>
    <x v="1"/>
    <m/>
    <m/>
    <m/>
    <m/>
    <m/>
    <m/>
    <m/>
    <m/>
    <m/>
    <m/>
    <m/>
    <m/>
    <m/>
    <m/>
    <x v="1"/>
  </r>
  <r>
    <x v="1"/>
    <m/>
    <m/>
    <m/>
    <m/>
    <m/>
    <m/>
    <m/>
    <m/>
    <m/>
    <m/>
    <m/>
    <m/>
    <m/>
    <m/>
    <x v="1"/>
  </r>
  <r>
    <x v="2"/>
    <s v="MM01010101"/>
    <s v="PLATES SALES OWN PROD. THIRD PARTIES    "/>
    <n v="-10828084.15"/>
    <n v="-11600192.560000001"/>
    <n v="-10309770.439999998"/>
    <n v="-9703903.2699999996"/>
    <n v="-9587638.0800000001"/>
    <n v="0"/>
    <n v="0"/>
    <n v="0"/>
    <n v="0"/>
    <n v="0"/>
    <n v="0"/>
    <n v="0"/>
    <x v="2"/>
  </r>
  <r>
    <x v="2"/>
    <s v="MM01010102"/>
    <s v="RETURN ON  GOODS PLATES SALES           "/>
    <n v="62916.94"/>
    <n v="53249.7"/>
    <n v="18065.330000000002"/>
    <n v="58639.27"/>
    <n v="19101.66"/>
    <n v="0"/>
    <n v="0"/>
    <n v="0"/>
    <n v="0"/>
    <n v="0"/>
    <n v="0"/>
    <n v="0"/>
    <x v="2"/>
  </r>
  <r>
    <x v="1"/>
    <s v="MM01010104"/>
    <s v="REBATE ON SALES MATERIALS OWN PRODUCTION"/>
    <n v="0"/>
    <n v="0"/>
    <n v="0"/>
    <n v="0"/>
    <n v="0"/>
    <n v="0"/>
    <n v="0"/>
    <n v="0"/>
    <n v="0"/>
    <n v="0"/>
    <n v="0"/>
    <n v="0"/>
    <x v="2"/>
  </r>
  <r>
    <x v="1"/>
    <s v="MM01010103"/>
    <s v="DISCOUNT ON SALES MATERIALS OWN PRODUCTION"/>
    <m/>
    <m/>
    <m/>
    <n v="17.100000000000001"/>
    <m/>
    <m/>
    <m/>
    <m/>
    <m/>
    <m/>
    <m/>
    <m/>
    <x v="1"/>
  </r>
  <r>
    <x v="1"/>
    <s v="MM01010106"/>
    <s v="PROVISION CLAIMS MATERIALS OWN PRODUCTION"/>
    <n v="10000"/>
    <n v="11569.66"/>
    <n v="10000"/>
    <n v="10000"/>
    <n v="10000"/>
    <n v="0"/>
    <n v="0"/>
    <n v="0"/>
    <n v="0"/>
    <n v="0"/>
    <n v="0"/>
    <n v="0"/>
    <x v="2"/>
  </r>
  <r>
    <x v="1"/>
    <s v="MM01010108"/>
    <s v="REC. OUT. FREIGHT COST PLATES  (FREIGHT)"/>
    <n v="0"/>
    <n v="0"/>
    <n v="0"/>
    <n v="0"/>
    <n v="0"/>
    <n v="0"/>
    <n v="0"/>
    <n v="0"/>
    <n v="0"/>
    <n v="0"/>
    <n v="0"/>
    <n v="0"/>
    <x v="2"/>
  </r>
  <r>
    <x v="3"/>
    <s v="MM01010109"/>
    <s v="REC. OUT. FREIGHT COST PLATES  (OTHERS) "/>
    <n v="-437506.87"/>
    <n v="-390187.86"/>
    <n v="-355717.67999999993"/>
    <n v="-316410.2"/>
    <n v="-345262.43"/>
    <n v="0"/>
    <n v="0"/>
    <n v="0"/>
    <n v="0"/>
    <n v="0"/>
    <n v="0"/>
    <n v="0"/>
    <x v="2"/>
  </r>
  <r>
    <x v="4"/>
    <s v="MM01010110"/>
    <s v="REC.COMMISSIONS ON PLATES SALES OWN PROD"/>
    <n v="-29641.26"/>
    <n v="-29389.02"/>
    <n v="-21552.410000000003"/>
    <n v="-26099.34"/>
    <n v="-24164.93"/>
    <n v="0"/>
    <n v="0"/>
    <n v="0"/>
    <n v="0"/>
    <n v="0"/>
    <n v="0"/>
    <n v="0"/>
    <x v="2"/>
  </r>
  <r>
    <x v="1"/>
    <s v="MM01010202"/>
    <s v="RETURN ON  GOODS PLATES SALES           "/>
    <n v="0"/>
    <n v="0"/>
    <n v="0"/>
    <n v="0"/>
    <n v="0"/>
    <n v="0"/>
    <n v="0"/>
    <n v="0"/>
    <n v="0"/>
    <n v="0"/>
    <n v="0"/>
    <n v="0"/>
    <x v="2"/>
  </r>
  <r>
    <x v="1"/>
    <s v="MM01010209"/>
    <s v="REC. OUT. FREIGHT COST  PLATES  (OTHERS)"/>
    <n v="0"/>
    <n v="0"/>
    <n v="0"/>
    <n v="0"/>
    <n v="0"/>
    <n v="0"/>
    <n v="0"/>
    <n v="0"/>
    <n v="0"/>
    <n v="0"/>
    <n v="0"/>
    <n v="0"/>
    <x v="2"/>
  </r>
  <r>
    <x v="1"/>
    <s v="MM01010301"/>
    <s v="PLATES SALES OWN PRODUCTION TO FV       "/>
    <n v="0"/>
    <n v="0"/>
    <n v="0"/>
    <n v="0"/>
    <n v="0"/>
    <n v="0"/>
    <n v="0"/>
    <n v="0"/>
    <n v="0"/>
    <n v="0"/>
    <n v="0"/>
    <n v="0"/>
    <x v="2"/>
  </r>
  <r>
    <x v="1"/>
    <s v="MM01010302"/>
    <s v="RETURN ON  GOODS PLATES SALES           "/>
    <n v="0"/>
    <n v="0"/>
    <n v="0"/>
    <n v="0"/>
    <n v="0"/>
    <n v="0"/>
    <n v="0"/>
    <n v="0"/>
    <n v="0"/>
    <n v="0"/>
    <n v="0"/>
    <n v="0"/>
    <x v="2"/>
  </r>
  <r>
    <x v="1"/>
    <s v="MM01010309"/>
    <s v="REC. OUT.FREIGHT COST  PLATES  (OTHERS) "/>
    <n v="0"/>
    <n v="0"/>
    <n v="0"/>
    <n v="0"/>
    <n v="0"/>
    <n v="0"/>
    <n v="0"/>
    <n v="0"/>
    <n v="0"/>
    <n v="0"/>
    <n v="0"/>
    <n v="0"/>
    <x v="2"/>
  </r>
  <r>
    <x v="1"/>
    <s v="MM01010310"/>
    <s v="RECHARGE COMMISSIONS ON PLATES SALES    "/>
    <n v="0"/>
    <n v="0"/>
    <n v="0"/>
    <n v="0"/>
    <n v="0"/>
    <n v="0"/>
    <n v="0"/>
    <n v="0"/>
    <n v="0"/>
    <n v="0"/>
    <n v="0"/>
    <n v="0"/>
    <x v="2"/>
  </r>
  <r>
    <x v="5"/>
    <s v="MM02010101"/>
    <s v="PLATES TRADING SALES TO THIRD PARTIES   "/>
    <n v="-1770184.41"/>
    <n v="-2328565.96"/>
    <n v="-1596291.9100000001"/>
    <n v="-1589640.17"/>
    <n v="-2166860.79"/>
    <n v="0"/>
    <n v="0"/>
    <n v="0"/>
    <n v="0"/>
    <n v="0"/>
    <n v="0"/>
    <n v="0"/>
    <x v="3"/>
  </r>
  <r>
    <x v="5"/>
    <s v="MM02010102"/>
    <s v="RETURN  ON GOODS PLATES TRADING  SALES  "/>
    <n v="19194.57"/>
    <n v="5019.7299999999996"/>
    <n v="0"/>
    <n v="10781.3"/>
    <n v="16215.93"/>
    <n v="0"/>
    <n v="0"/>
    <n v="0"/>
    <n v="0"/>
    <n v="0"/>
    <n v="0"/>
    <n v="0"/>
    <x v="3"/>
  </r>
  <r>
    <x v="1"/>
    <s v="MM02010106"/>
    <s v="REC.OUT.FREIGHT CT PLATES TRAD (RAILWAY)"/>
    <n v="0"/>
    <n v="0"/>
    <n v="0"/>
    <n v="0"/>
    <n v="0"/>
    <n v="0"/>
    <n v="0"/>
    <n v="0"/>
    <n v="0"/>
    <n v="0"/>
    <n v="0"/>
    <n v="0"/>
    <x v="3"/>
  </r>
  <r>
    <x v="3"/>
    <s v="MM02010107"/>
    <s v="REC.OUT.FREIGHT CT PLATES TRAD (FREIGHT)"/>
    <n v="-19851.62"/>
    <n v="-9152.65"/>
    <n v="-14985.740000000005"/>
    <n v="-505.6"/>
    <n v="-10134.129999999999"/>
    <n v="0"/>
    <n v="0"/>
    <n v="0"/>
    <n v="0"/>
    <n v="0"/>
    <n v="0"/>
    <n v="0"/>
    <x v="3"/>
  </r>
  <r>
    <x v="3"/>
    <s v="MM02010108"/>
    <s v="REC.OUT.FREIGHT CT PLATES TRAD (OTHERS) "/>
    <n v="-53593.46"/>
    <n v="-76825.7"/>
    <n v="-50089.97"/>
    <n v="-36817.64"/>
    <n v="-62222.86"/>
    <n v="0"/>
    <n v="0"/>
    <n v="0"/>
    <n v="0"/>
    <n v="0"/>
    <n v="0"/>
    <n v="0"/>
    <x v="3"/>
  </r>
  <r>
    <x v="4"/>
    <s v="MM02010109"/>
    <s v="REC. COMMISSIONS ON PLATES SALES TRAD   "/>
    <n v="-6205.71"/>
    <n v="-1245.33"/>
    <n v="-3858.37"/>
    <n v="-1111.29"/>
    <n v="-2438.5"/>
    <n v="0"/>
    <n v="0"/>
    <n v="0"/>
    <n v="0"/>
    <n v="0"/>
    <n v="0"/>
    <n v="0"/>
    <x v="3"/>
  </r>
  <r>
    <x v="1"/>
    <s v="MM02010301"/>
    <s v="PLATES TRADING SALES TO FV              "/>
    <n v="0"/>
    <n v="0"/>
    <n v="0"/>
    <n v="0"/>
    <n v="0"/>
    <n v="0"/>
    <n v="0"/>
    <n v="0"/>
    <n v="0"/>
    <n v="0"/>
    <n v="0"/>
    <n v="0"/>
    <x v="3"/>
  </r>
  <r>
    <x v="1"/>
    <s v="MM02010308"/>
    <s v="REC.OUT.FREIGHT CT PLATES TRAD (OTHERS) "/>
    <n v="0"/>
    <n v="0"/>
    <n v="0"/>
    <n v="0"/>
    <n v="0"/>
    <n v="0"/>
    <n v="0"/>
    <n v="0"/>
    <n v="0"/>
    <n v="0"/>
    <n v="0"/>
    <n v="0"/>
    <x v="3"/>
  </r>
  <r>
    <x v="1"/>
    <s v="MM02020101"/>
    <s v="COILS TRADING SALES TO THIRD PARTIES    "/>
    <n v="0"/>
    <n v="0"/>
    <n v="0"/>
    <n v="0"/>
    <n v="0"/>
    <n v="0"/>
    <n v="0"/>
    <n v="0"/>
    <n v="0"/>
    <n v="0"/>
    <n v="0"/>
    <n v="0"/>
    <x v="3"/>
  </r>
  <r>
    <x v="1"/>
    <s v="MM02020102"/>
    <s v="RETURN  ON GOODS COILS TRADING  SALES   "/>
    <n v="0"/>
    <n v="0"/>
    <n v="0"/>
    <n v="0"/>
    <n v="0"/>
    <n v="0"/>
    <n v="0"/>
    <n v="0"/>
    <n v="0"/>
    <n v="0"/>
    <n v="0"/>
    <n v="0"/>
    <x v="3"/>
  </r>
  <r>
    <x v="1"/>
    <s v="MM02020104"/>
    <s v="PROVISION CLAIMS COILS SALES            "/>
    <n v="0"/>
    <n v="0"/>
    <n v="0"/>
    <n v="0"/>
    <n v="0"/>
    <n v="0"/>
    <n v="0"/>
    <n v="0"/>
    <n v="0"/>
    <n v="0"/>
    <n v="0"/>
    <n v="0"/>
    <x v="3"/>
  </r>
  <r>
    <x v="1"/>
    <s v="MM02020107"/>
    <s v="REC.OUT.FREIGHT CT COILS TRAD (FREIGHT) "/>
    <n v="0"/>
    <n v="0"/>
    <n v="0"/>
    <n v="0"/>
    <n v="0"/>
    <n v="0"/>
    <n v="0"/>
    <n v="0"/>
    <n v="0"/>
    <n v="0"/>
    <n v="0"/>
    <n v="0"/>
    <x v="3"/>
  </r>
  <r>
    <x v="1"/>
    <s v="MM02020108"/>
    <s v="REC.OUT.FREIGHT CT  COILS  TRAD (OTHERS)"/>
    <n v="0"/>
    <n v="0"/>
    <n v="0"/>
    <n v="0"/>
    <n v="0"/>
    <n v="0"/>
    <n v="0"/>
    <n v="0"/>
    <n v="0"/>
    <n v="0"/>
    <n v="0"/>
    <n v="0"/>
    <x v="3"/>
  </r>
  <r>
    <x v="1"/>
    <s v="MM02010104"/>
    <s v="PROVISION CLAIMS TRADING PRODUCT"/>
    <n v="0"/>
    <n v="0"/>
    <n v="0"/>
    <n v="0"/>
    <n v="0"/>
    <n v="0"/>
    <n v="0"/>
    <n v="0"/>
    <n v="0"/>
    <n v="0"/>
    <n v="0"/>
    <n v="0"/>
    <x v="3"/>
  </r>
  <r>
    <x v="6"/>
    <s v="MM03010101"/>
    <s v="SCRAP SALES                             "/>
    <n v="-355224"/>
    <n v="-453919.5"/>
    <n v="-418977.39999999991"/>
    <n v="-410580.9"/>
    <n v="-290094.59999999998"/>
    <n v="0"/>
    <n v="0"/>
    <n v="0"/>
    <n v="0"/>
    <n v="0"/>
    <n v="0"/>
    <n v="0"/>
    <x v="2"/>
  </r>
  <r>
    <x v="6"/>
    <s v="MM03010102"/>
    <s v="SCALE SALES                             "/>
    <n v="0"/>
    <n v="0"/>
    <n v="0"/>
    <n v="0"/>
    <n v="0"/>
    <n v="0"/>
    <n v="0"/>
    <n v="0"/>
    <n v="0"/>
    <n v="0"/>
    <n v="0"/>
    <n v="0"/>
    <x v="2"/>
  </r>
  <r>
    <x v="6"/>
    <s v="MM03010104"/>
    <s v="RETURN  ON GOODS OTHERS SALES"/>
    <n v="3197.16"/>
    <n v="0"/>
    <n v="0"/>
    <n v="0"/>
    <n v="0"/>
    <n v="0"/>
    <n v="0"/>
    <n v="0"/>
    <n v="0"/>
    <n v="0"/>
    <n v="0"/>
    <n v="0"/>
    <x v="2"/>
  </r>
  <r>
    <x v="7"/>
    <s v="MM05010104"/>
    <s v="OTHER INCOMES"/>
    <n v="0"/>
    <n v="0"/>
    <n v="0"/>
    <n v="-15830.56"/>
    <n v="-6869.14"/>
    <n v="0"/>
    <n v="0"/>
    <n v="0"/>
    <n v="0"/>
    <n v="0"/>
    <n v="0"/>
    <n v="0"/>
    <x v="2"/>
  </r>
  <r>
    <x v="1"/>
    <m/>
    <m/>
    <n v="0"/>
    <n v="0"/>
    <n v="0"/>
    <n v="0"/>
    <n v="0"/>
    <n v="0"/>
    <n v="0"/>
    <n v="0"/>
    <n v="0"/>
    <n v="0"/>
    <n v="0"/>
    <n v="0"/>
    <x v="1"/>
  </r>
  <r>
    <x v="8"/>
    <s v="NN02010101"/>
    <s v="OPENING BALANCES RAW MATERIAL           "/>
    <n v="22450570.809999999"/>
    <n v="0"/>
    <n v="0"/>
    <n v="0"/>
    <n v="0"/>
    <n v="0"/>
    <n v="0"/>
    <n v="0"/>
    <n v="0"/>
    <n v="0"/>
    <n v="0"/>
    <n v="0"/>
    <x v="4"/>
  </r>
  <r>
    <x v="8"/>
    <s v="NN02010102"/>
    <s v="CLOSING BALANCES RAW MATERIAL           "/>
    <n v="-26330455"/>
    <n v="-222595"/>
    <n v="7595408.1799999997"/>
    <n v="-1118796.25"/>
    <n v="1082298.32"/>
    <n v="0"/>
    <n v="0"/>
    <n v="0"/>
    <n v="0"/>
    <n v="0"/>
    <n v="0"/>
    <n v="0"/>
    <x v="4"/>
  </r>
  <r>
    <x v="8"/>
    <s v="NN02010103"/>
    <s v="SLABS PURCHASE                          "/>
    <n v="12290658.369999999"/>
    <n v="10001734.529999999"/>
    <n v="1471142.5"/>
    <n v="10909089.189999999"/>
    <n v="5653076.3300000001"/>
    <n v="0"/>
    <n v="0"/>
    <n v="0"/>
    <n v="0"/>
    <n v="0"/>
    <n v="0"/>
    <n v="0"/>
    <x v="4"/>
  </r>
  <r>
    <x v="9"/>
    <s v="NN01010301"/>
    <s v="PROVISION FOR FINISHED PRODUCTS OBSOLESCENCE"/>
    <m/>
    <m/>
    <n v="-8785427.1899999995"/>
    <m/>
    <m/>
    <m/>
    <m/>
    <m/>
    <m/>
    <m/>
    <m/>
    <m/>
    <x v="1"/>
  </r>
  <r>
    <x v="8"/>
    <s v="NN02010104"/>
    <s v="INBOUND TRANSPORTS ( TRUCK,TRAIN,VESSEL)"/>
    <n v="92518.52"/>
    <n v="74916.929999999993"/>
    <n v="73075.039999999979"/>
    <n v="77266.149999999994"/>
    <n v="32238.92"/>
    <n v="0"/>
    <n v="0"/>
    <n v="0"/>
    <n v="0"/>
    <n v="0"/>
    <n v="0"/>
    <n v="0"/>
    <x v="4"/>
  </r>
  <r>
    <x v="8"/>
    <s v="NN02010105"/>
    <s v="CUSTOM CLEARANCE AND DUTY EXPENSES      "/>
    <n v="0"/>
    <n v="0"/>
    <n v="0"/>
    <n v="0"/>
    <n v="0"/>
    <n v="0"/>
    <n v="0"/>
    <n v="0"/>
    <n v="0"/>
    <n v="0"/>
    <n v="0"/>
    <n v="0"/>
    <x v="4"/>
  </r>
  <r>
    <x v="8"/>
    <s v="NN02010106"/>
    <s v="LOADING AND UNLOADING EXPENSES          "/>
    <n v="63355.5"/>
    <n v="1637.69"/>
    <n v="55221.279999999999"/>
    <n v="53515.66"/>
    <n v="34363.71"/>
    <n v="0"/>
    <n v="0"/>
    <n v="0"/>
    <n v="0"/>
    <n v="0"/>
    <n v="0"/>
    <n v="0"/>
    <x v="4"/>
  </r>
  <r>
    <x v="1"/>
    <m/>
    <m/>
    <n v="0"/>
    <n v="0"/>
    <n v="0"/>
    <n v="0"/>
    <n v="0"/>
    <n v="0"/>
    <n v="0"/>
    <n v="0"/>
    <n v="0"/>
    <n v="0"/>
    <n v="0"/>
    <n v="0"/>
    <x v="1"/>
  </r>
  <r>
    <x v="10"/>
    <s v="NN04010103"/>
    <s v="OBTRANSP.PLATES TO TRD PARTIES (TRUCK)  "/>
    <n v="541014.19999999995"/>
    <n v="424322.71"/>
    <n v="389024.9600000002"/>
    <n v="351393.13"/>
    <n v="422292.45"/>
    <n v="0"/>
    <n v="0"/>
    <n v="0"/>
    <n v="0"/>
    <n v="0"/>
    <n v="0"/>
    <n v="0"/>
    <x v="5"/>
  </r>
  <r>
    <x v="10"/>
    <s v="NN04010102"/>
    <s v="OUTBOUND TRANSPORTS MATERIALS OWN PRODUCTION (VESSEL )"/>
    <n v="0"/>
    <n v="0"/>
    <n v="0"/>
    <n v="0"/>
    <n v="0"/>
    <n v="0"/>
    <n v="0"/>
    <n v="0"/>
    <n v="0"/>
    <n v="0"/>
    <n v="0"/>
    <n v="0"/>
    <x v="5"/>
  </r>
  <r>
    <x v="10"/>
    <s v="NN04010203"/>
    <s v="EXPORT CHARGES FOR OUTBOUND TRANSPORTS (TRUCK)"/>
    <n v="36355.42"/>
    <n v="29427.39"/>
    <n v="20060.080000000002"/>
    <n v="22178.51"/>
    <n v="18297.78"/>
    <n v="0"/>
    <n v="0"/>
    <n v="0"/>
    <n v="0"/>
    <n v="0"/>
    <n v="0"/>
    <n v="0"/>
    <x v="5"/>
  </r>
  <r>
    <x v="11"/>
    <s v="NN05080108"/>
    <s v="ENSURANCE ON CREDITS                    "/>
    <n v="15832.47"/>
    <n v="15832.47"/>
    <n v="15832.470000000005"/>
    <n v="-36484.699999999997"/>
    <n v="16005.56"/>
    <n v="0"/>
    <n v="0"/>
    <n v="0"/>
    <n v="0"/>
    <n v="0"/>
    <n v="0"/>
    <n v="0"/>
    <x v="5"/>
  </r>
  <r>
    <x v="12"/>
    <s v="NN05010101"/>
    <s v="COMMISSION ON PLATES SALES TO TRD PARTIE"/>
    <n v="35411.769999999997"/>
    <n v="29020.74"/>
    <n v="24753.700000000012"/>
    <n v="24654.639999999999"/>
    <n v="29481.22"/>
    <n v="0"/>
    <n v="0"/>
    <n v="0"/>
    <n v="0"/>
    <n v="0"/>
    <n v="0"/>
    <n v="0"/>
    <x v="5"/>
  </r>
  <r>
    <x v="1"/>
    <m/>
    <m/>
    <n v="0"/>
    <n v="0"/>
    <n v="0"/>
    <n v="0"/>
    <n v="0"/>
    <n v="0"/>
    <n v="0"/>
    <n v="0"/>
    <n v="0"/>
    <n v="0"/>
    <n v="0"/>
    <n v="0"/>
    <x v="1"/>
  </r>
  <r>
    <x v="1"/>
    <s v="NN03010203"/>
    <s v="PLATES TRADING PURCHASE FROM MTM        "/>
    <n v="0"/>
    <n v="0"/>
    <n v="0"/>
    <n v="0"/>
    <n v="0"/>
    <n v="0"/>
    <n v="0"/>
    <n v="0"/>
    <n v="0"/>
    <n v="0"/>
    <n v="0"/>
    <n v="0"/>
    <x v="3"/>
  </r>
  <r>
    <x v="1"/>
    <s v="NN03010401"/>
    <s v="OPENING BALANCES TRADING PLATES         "/>
    <n v="0"/>
    <n v="0"/>
    <n v="0"/>
    <n v="0"/>
    <n v="0"/>
    <n v="0"/>
    <n v="0"/>
    <n v="0"/>
    <n v="0"/>
    <n v="0"/>
    <n v="0"/>
    <n v="0"/>
    <x v="3"/>
  </r>
  <r>
    <x v="1"/>
    <s v="NN03010402"/>
    <s v="CLOSING BALANCES TRADING PLATES         "/>
    <n v="0"/>
    <n v="0"/>
    <n v="0"/>
    <n v="0"/>
    <n v="0"/>
    <n v="0"/>
    <n v="0"/>
    <n v="0"/>
    <n v="0"/>
    <n v="0"/>
    <n v="0"/>
    <n v="0"/>
    <x v="3"/>
  </r>
  <r>
    <x v="1"/>
    <s v="NN03010403"/>
    <s v="PLATES  PURCHASE FROM METINVEST GROUP   "/>
    <n v="0"/>
    <n v="0"/>
    <n v="0"/>
    <n v="0"/>
    <n v="0"/>
    <n v="0"/>
    <n v="0"/>
    <n v="0"/>
    <n v="0"/>
    <n v="0"/>
    <n v="0"/>
    <n v="0"/>
    <x v="3"/>
  </r>
  <r>
    <x v="1"/>
    <s v="NN03010406"/>
    <s v="ING. FREIGHT CT PLATES PURCHASE (VESSEL)"/>
    <n v="0"/>
    <n v="0"/>
    <n v="0"/>
    <n v="0"/>
    <n v="0"/>
    <n v="0"/>
    <n v="0"/>
    <n v="0"/>
    <n v="0"/>
    <n v="0"/>
    <n v="0"/>
    <n v="0"/>
    <x v="3"/>
  </r>
  <r>
    <x v="1"/>
    <s v="NN03020303"/>
    <s v="COILS TRADING PURCHASE FROM FV          "/>
    <n v="0"/>
    <n v="0"/>
    <n v="0"/>
    <n v="0"/>
    <n v="0"/>
    <n v="0"/>
    <n v="0"/>
    <n v="0"/>
    <n v="0"/>
    <n v="0"/>
    <n v="0"/>
    <n v="0"/>
    <x v="3"/>
  </r>
  <r>
    <x v="1"/>
    <s v="NN03020306"/>
    <s v="ING.FREIGHT CT COILS PURCHASE (VESSEL)  "/>
    <n v="0"/>
    <n v="0"/>
    <n v="0"/>
    <n v="0"/>
    <n v="0"/>
    <n v="0"/>
    <n v="0"/>
    <n v="0"/>
    <n v="0"/>
    <n v="0"/>
    <n v="0"/>
    <n v="0"/>
    <x v="3"/>
  </r>
  <r>
    <x v="1"/>
    <s v="NN03020402"/>
    <s v="CLOSING BALANCES TRADING COILS          "/>
    <n v="0"/>
    <n v="0"/>
    <n v="0"/>
    <n v="0"/>
    <n v="0"/>
    <n v="0"/>
    <n v="0"/>
    <n v="0"/>
    <n v="0"/>
    <n v="0"/>
    <n v="0"/>
    <n v="0"/>
    <x v="3"/>
  </r>
  <r>
    <x v="1"/>
    <s v="NN03020403"/>
    <s v="COILS TRAD PURCHASE FROM METINVEST GROUP"/>
    <n v="0"/>
    <n v="0"/>
    <n v="0"/>
    <n v="0"/>
    <n v="0"/>
    <n v="0"/>
    <n v="0"/>
    <n v="0"/>
    <n v="0"/>
    <n v="0"/>
    <n v="0"/>
    <n v="0"/>
    <x v="3"/>
  </r>
  <r>
    <x v="1"/>
    <s v="NN03020406"/>
    <s v="ING.FREIGHT CT COILS PURCHASE (VESSEL)  "/>
    <n v="0"/>
    <n v="0"/>
    <n v="0"/>
    <n v="0"/>
    <n v="0"/>
    <n v="0"/>
    <n v="0"/>
    <n v="0"/>
    <n v="0"/>
    <n v="0"/>
    <n v="0"/>
    <n v="0"/>
    <x v="3"/>
  </r>
  <r>
    <x v="1"/>
    <s v="NN04030102"/>
    <s v="OUTBOUND TRANSPORTS TRADED PRODUCT FROM PORT (VESSEL)"/>
    <n v="0"/>
    <n v="0"/>
    <n v="0"/>
    <n v="0"/>
    <n v="0"/>
    <n v="0"/>
    <n v="0"/>
    <n v="0"/>
    <n v="0"/>
    <n v="0"/>
    <n v="0"/>
    <n v="0"/>
    <x v="3"/>
  </r>
  <r>
    <x v="1"/>
    <s v="NN04030103"/>
    <s v="OBTRANSP. PLATES TO TRD PARTIES  (TRUCK)"/>
    <n v="3230.1"/>
    <n v="31705"/>
    <n v="8770"/>
    <n v="15975"/>
    <n v="27234.99"/>
    <n v="0"/>
    <n v="0"/>
    <n v="0"/>
    <n v="0"/>
    <n v="0"/>
    <n v="0"/>
    <n v="0"/>
    <x v="3"/>
  </r>
  <r>
    <x v="1"/>
    <s v="NN04040103"/>
    <s v="OBTRANSP. COILS TO TRD PARTIES  (TRUCK) "/>
    <n v="0"/>
    <n v="0"/>
    <n v="0"/>
    <n v="0"/>
    <n v="0"/>
    <n v="0"/>
    <n v="0"/>
    <n v="0"/>
    <n v="0"/>
    <n v="0"/>
    <n v="0"/>
    <n v="0"/>
    <x v="3"/>
  </r>
  <r>
    <x v="1"/>
    <s v="NN03010101"/>
    <s v="OPENING BALANCES TRADING PRODUCTS"/>
    <n v="2609943.39"/>
    <n v="0"/>
    <n v="0"/>
    <n v="0"/>
    <n v="0"/>
    <n v="0"/>
    <n v="0"/>
    <n v="0"/>
    <n v="0"/>
    <n v="0"/>
    <n v="0"/>
    <n v="0"/>
    <x v="3"/>
  </r>
  <r>
    <x v="1"/>
    <s v="NN03010102"/>
    <s v="CLOSING BALANCES TRADING PRODUCTS"/>
    <n v="-2410963.98"/>
    <n v="-629709.21"/>
    <n v="-1252221.1999999997"/>
    <n v="911210.15"/>
    <n v="-471113.96"/>
    <n v="0"/>
    <n v="0"/>
    <n v="0"/>
    <n v="0"/>
    <n v="0"/>
    <n v="0"/>
    <n v="0"/>
    <x v="3"/>
  </r>
  <r>
    <x v="13"/>
    <s v="NN03010106"/>
    <s v="INGOING FREIGHT COST TRADING PRODUCT PURCHASE (vessel)"/>
    <n v="0"/>
    <n v="28547.83"/>
    <n v="18076.28"/>
    <n v="44222.77"/>
    <n v="21064.79"/>
    <n v="0"/>
    <n v="0"/>
    <n v="0"/>
    <n v="0"/>
    <n v="0"/>
    <n v="0"/>
    <n v="0"/>
    <x v="3"/>
  </r>
  <r>
    <x v="14"/>
    <s v="NN03010103"/>
    <s v="TRADING PRODUCT PURCHASE"/>
    <n v="1609182.16"/>
    <n v="2904500.98"/>
    <n v="2869615.6800000006"/>
    <n v="654014.02"/>
    <n v="2632730.5499999998"/>
    <n v="0"/>
    <n v="0"/>
    <n v="0"/>
    <n v="0"/>
    <n v="0"/>
    <n v="0"/>
    <n v="0"/>
    <x v="3"/>
  </r>
  <r>
    <x v="1"/>
    <m/>
    <m/>
    <n v="0"/>
    <n v="0"/>
    <n v="0"/>
    <n v="0"/>
    <n v="0"/>
    <n v="0"/>
    <n v="0"/>
    <n v="0"/>
    <n v="0"/>
    <n v="0"/>
    <n v="0"/>
    <n v="0"/>
    <x v="1"/>
  </r>
  <r>
    <x v="15"/>
    <s v="NN02020103"/>
    <s v="SPARE PARTS  AND CONSUMABLES PURCH.COSTS"/>
    <n v="86231.43"/>
    <n v="98080.8"/>
    <n v="105989.58000000002"/>
    <n v="77229.2"/>
    <n v="95002.1"/>
    <n v="0"/>
    <n v="0"/>
    <n v="0"/>
    <n v="0"/>
    <n v="0"/>
    <n v="0"/>
    <n v="0"/>
    <x v="4"/>
  </r>
  <r>
    <x v="15"/>
    <s v="NN02020101"/>
    <s v="OPENING BALANCES CONSUMABLES AND SPARE SPARTS"/>
    <n v="76252.210000000006"/>
    <n v="0"/>
    <n v="0"/>
    <n v="0"/>
    <n v="0"/>
    <n v="0"/>
    <n v="0"/>
    <n v="0"/>
    <n v="0"/>
    <n v="0"/>
    <n v="0"/>
    <n v="0"/>
    <x v="4"/>
  </r>
  <r>
    <x v="15"/>
    <s v="NN02020102"/>
    <s v="CLOSING BALANCES CONSUMABLES AND SPARE SPARTS"/>
    <n v="-98246.3"/>
    <n v="840.25"/>
    <n v="6352.2100000000064"/>
    <n v="4986.29"/>
    <n v="-7251.93"/>
    <n v="0"/>
    <n v="0"/>
    <n v="0"/>
    <n v="0"/>
    <n v="0"/>
    <n v="0"/>
    <n v="0"/>
    <x v="4"/>
  </r>
  <r>
    <x v="1"/>
    <m/>
    <m/>
    <n v="0"/>
    <n v="0"/>
    <n v="0"/>
    <n v="0"/>
    <n v="0"/>
    <n v="0"/>
    <n v="0"/>
    <n v="0"/>
    <n v="0"/>
    <n v="0"/>
    <n v="0"/>
    <n v="0"/>
    <x v="1"/>
  </r>
  <r>
    <x v="16"/>
    <s v="NN06010201"/>
    <s v="ENERGY                                  "/>
    <n v="190344.17"/>
    <n v="167797.38"/>
    <n v="32990.889999999956"/>
    <n v="183844.29"/>
    <n v="154507.23000000001"/>
    <n v="0"/>
    <n v="0"/>
    <n v="0"/>
    <n v="0"/>
    <n v="0"/>
    <n v="0"/>
    <n v="0"/>
    <x v="4"/>
  </r>
  <r>
    <x v="16"/>
    <s v="NN06010202"/>
    <s v="GAS                                     "/>
    <n v="272295.89"/>
    <n v="275602.52"/>
    <n v="271730.39"/>
    <n v="315387.78000000003"/>
    <n v="307910.28000000003"/>
    <n v="0"/>
    <n v="0"/>
    <n v="0"/>
    <n v="0"/>
    <n v="0"/>
    <n v="0"/>
    <n v="0"/>
    <x v="4"/>
  </r>
  <r>
    <x v="16"/>
    <s v="NN06010203"/>
    <s v="OXYGEN                                  "/>
    <n v="11073.8"/>
    <n v="15249.55"/>
    <n v="5760.5500000000029"/>
    <n v="21293.93"/>
    <n v="9631.2800000000007"/>
    <n v="0"/>
    <n v="0"/>
    <n v="0"/>
    <n v="0"/>
    <n v="0"/>
    <n v="0"/>
    <n v="0"/>
    <x v="4"/>
  </r>
  <r>
    <x v="16"/>
    <s v="NN06010205"/>
    <s v="WATER                                   "/>
    <n v="5615.01"/>
    <n v="10597.42"/>
    <n v="9548.57"/>
    <n v="10000"/>
    <n v="10032.08"/>
    <n v="0"/>
    <n v="0"/>
    <n v="0"/>
    <n v="0"/>
    <n v="0"/>
    <n v="0"/>
    <n v="0"/>
    <x v="4"/>
  </r>
  <r>
    <x v="16"/>
    <s v="NN06010206"/>
    <s v="OTHER ENERGY COSTS                      "/>
    <n v="5246.66"/>
    <n v="8896.9699999999993"/>
    <n v="7414.1299999999992"/>
    <n v="4649.3599999999997"/>
    <n v="11966.51"/>
    <n v="0"/>
    <n v="0"/>
    <n v="0"/>
    <n v="0"/>
    <n v="0"/>
    <n v="0"/>
    <n v="0"/>
    <x v="4"/>
  </r>
  <r>
    <x v="1"/>
    <m/>
    <m/>
    <n v="0"/>
    <n v="0"/>
    <n v="0"/>
    <n v="0"/>
    <n v="0"/>
    <n v="0"/>
    <n v="0"/>
    <n v="0"/>
    <n v="0"/>
    <n v="0"/>
    <n v="0"/>
    <n v="0"/>
    <x v="1"/>
  </r>
  <r>
    <x v="1"/>
    <m/>
    <m/>
    <n v="0"/>
    <n v="0"/>
    <n v="0"/>
    <n v="0"/>
    <n v="0"/>
    <n v="0"/>
    <n v="0"/>
    <n v="0"/>
    <n v="0"/>
    <n v="0"/>
    <n v="0"/>
    <n v="0"/>
    <x v="1"/>
  </r>
  <r>
    <x v="17"/>
    <s v="NN08010101"/>
    <s v="WAGES AND SALARY                        "/>
    <n v="433433.29"/>
    <n v="466793.75"/>
    <n v="512767.81000000006"/>
    <n v="449075.35"/>
    <n v="473692.85"/>
    <n v="0"/>
    <n v="0"/>
    <n v="0"/>
    <n v="0"/>
    <n v="0"/>
    <n v="0"/>
    <n v="0"/>
    <x v="6"/>
  </r>
  <r>
    <x v="17"/>
    <s v="NN08010120"/>
    <s v="MBO - ACCRUALS                          "/>
    <n v="59217.19"/>
    <n v="59217.19"/>
    <n v="59217.19"/>
    <n v="-265687.81"/>
    <n v="59379.839999999997"/>
    <n v="0"/>
    <n v="0"/>
    <n v="0"/>
    <n v="0"/>
    <n v="0"/>
    <n v="0"/>
    <n v="0"/>
    <x v="6"/>
  </r>
  <r>
    <x v="17"/>
    <s v="NN08010121"/>
    <s v="MBO - CONSUMPTION"/>
    <m/>
    <m/>
    <n v="0"/>
    <n v="186862"/>
    <n v="0"/>
    <n v="0"/>
    <n v="0"/>
    <n v="0"/>
    <n v="0"/>
    <n v="0"/>
    <n v="0"/>
    <n v="0"/>
    <x v="6"/>
  </r>
  <r>
    <x v="17"/>
    <s v="NN08020201"/>
    <s v="SOCIAL CHARGES WAGES AND SALARY         "/>
    <n v="45846.77"/>
    <n v="49131.58"/>
    <n v="54967.229999999981"/>
    <n v="50376.89"/>
    <n v="52558.59"/>
    <n v="0"/>
    <n v="0"/>
    <n v="0"/>
    <n v="0"/>
    <n v="0"/>
    <n v="0"/>
    <n v="0"/>
    <x v="6"/>
  </r>
  <r>
    <x v="17"/>
    <s v="NN08030101"/>
    <s v="CURRENT RETIREMENT ALLOWANCE            "/>
    <n v="15513.41"/>
    <n v="15976.74"/>
    <n v="17647.510000000002"/>
    <n v="25088.98"/>
    <n v="17005.509999999998"/>
    <n v="0"/>
    <n v="0"/>
    <n v="0"/>
    <n v="0"/>
    <n v="0"/>
    <n v="0"/>
    <n v="0"/>
    <x v="6"/>
  </r>
  <r>
    <x v="17"/>
    <m/>
    <m/>
    <n v="0"/>
    <n v="0"/>
    <n v="0"/>
    <n v="0"/>
    <n v="0"/>
    <n v="0"/>
    <n v="0"/>
    <n v="0"/>
    <n v="0"/>
    <n v="0"/>
    <n v="0"/>
    <n v="0"/>
    <x v="1"/>
  </r>
  <r>
    <x v="18"/>
    <s v="NN02040101"/>
    <s v="SAFETY EQUIPMENT                        "/>
    <n v="2375.1799999999998"/>
    <n v="5616.09"/>
    <n v="3697.3199999999997"/>
    <n v="2123.42"/>
    <n v="746.1"/>
    <n v="0"/>
    <n v="0"/>
    <n v="0"/>
    <n v="0"/>
    <n v="0"/>
    <n v="0"/>
    <n v="0"/>
    <x v="4"/>
  </r>
  <r>
    <x v="18"/>
    <s v="NN06010119"/>
    <s v="CONSULTANCY ON COMPANY'SAFETY           "/>
    <n v="0"/>
    <n v="0"/>
    <n v="0"/>
    <n v="0"/>
    <n v="0"/>
    <n v="0"/>
    <n v="0"/>
    <n v="0"/>
    <n v="0"/>
    <n v="0"/>
    <n v="0"/>
    <n v="0"/>
    <x v="4"/>
  </r>
  <r>
    <x v="18"/>
    <s v="NN06010118"/>
    <s v="ENVIRONMENTAL SERVICES                  "/>
    <n v="27392.12"/>
    <n v="27229.79"/>
    <n v="38148.959999999992"/>
    <n v="17866.86"/>
    <n v="22192.880000000001"/>
    <n v="0"/>
    <n v="0"/>
    <n v="0"/>
    <n v="0"/>
    <n v="0"/>
    <n v="0"/>
    <n v="0"/>
    <x v="4"/>
  </r>
  <r>
    <x v="19"/>
    <s v="NN11020112"/>
    <s v="EMISSION TRADING COSTS"/>
    <n v="12879.86"/>
    <n v="16622.080000000002"/>
    <n v="15141.96"/>
    <n v="22007.45"/>
    <n v="7402.75"/>
    <n v="0"/>
    <n v="0"/>
    <n v="0"/>
    <n v="0"/>
    <n v="0"/>
    <n v="0"/>
    <n v="0"/>
    <x v="4"/>
  </r>
  <r>
    <x v="1"/>
    <m/>
    <m/>
    <n v="0"/>
    <n v="0"/>
    <n v="0"/>
    <n v="0"/>
    <n v="0"/>
    <n v="0"/>
    <n v="0"/>
    <n v="0"/>
    <n v="0"/>
    <n v="0"/>
    <n v="0"/>
    <n v="0"/>
    <x v="1"/>
  </r>
  <r>
    <x v="1"/>
    <m/>
    <m/>
    <n v="0"/>
    <n v="0"/>
    <n v="0"/>
    <n v="0"/>
    <n v="0"/>
    <n v="0"/>
    <n v="0"/>
    <n v="0"/>
    <n v="0"/>
    <n v="0"/>
    <n v="0"/>
    <n v="0"/>
    <x v="1"/>
  </r>
  <r>
    <x v="1"/>
    <m/>
    <m/>
    <n v="0"/>
    <n v="0"/>
    <n v="0"/>
    <n v="0"/>
    <n v="0"/>
    <n v="0"/>
    <n v="0"/>
    <n v="0"/>
    <n v="0"/>
    <n v="0"/>
    <n v="0"/>
    <n v="0"/>
    <x v="1"/>
  </r>
  <r>
    <x v="20"/>
    <s v="NN06010101"/>
    <s v="EXTERNAL MANUFACTURED WORK TO TRD PARTIE"/>
    <n v="0"/>
    <n v="3145"/>
    <n v="441.55999999999995"/>
    <n v="0"/>
    <n v="3150"/>
    <n v="0"/>
    <n v="0"/>
    <n v="0"/>
    <n v="0"/>
    <n v="0"/>
    <n v="0"/>
    <n v="0"/>
    <x v="4"/>
  </r>
  <r>
    <x v="20"/>
    <s v="NN06010107"/>
    <s v="WASTE DISPOSAL SERVICES                 "/>
    <n v="4351.29"/>
    <n v="3625.71"/>
    <n v="3550.7099999999991"/>
    <n v="542.14"/>
    <n v="3842.76"/>
    <n v="0"/>
    <n v="0"/>
    <n v="0"/>
    <n v="0"/>
    <n v="0"/>
    <n v="0"/>
    <n v="0"/>
    <x v="4"/>
  </r>
  <r>
    <x v="20"/>
    <s v="NN06010108"/>
    <s v="MAINTENANCE SERVICES FOR GARDEN         "/>
    <n v="0"/>
    <n v="0"/>
    <n v="0"/>
    <n v="0"/>
    <n v="0"/>
    <n v="0"/>
    <n v="0"/>
    <n v="0"/>
    <n v="0"/>
    <n v="0"/>
    <n v="0"/>
    <n v="0"/>
    <x v="4"/>
  </r>
  <r>
    <x v="20"/>
    <s v="NN06010109"/>
    <s v="REPAIRS ON STEEL SHEETS                 "/>
    <n v="0"/>
    <n v="0"/>
    <n v="0"/>
    <n v="0"/>
    <n v="0"/>
    <n v="0"/>
    <n v="0"/>
    <n v="0"/>
    <n v="0"/>
    <n v="0"/>
    <n v="0"/>
    <n v="0"/>
    <x v="4"/>
  </r>
  <r>
    <x v="20"/>
    <s v="NN06010110"/>
    <s v="STEEL SHEETS SANDBLASTING               "/>
    <n v="2294.9499999999998"/>
    <n v="0"/>
    <n v="0"/>
    <n v="-200.2"/>
    <n v="5040"/>
    <n v="0"/>
    <n v="0"/>
    <n v="0"/>
    <n v="0"/>
    <n v="0"/>
    <n v="0"/>
    <n v="0"/>
    <x v="4"/>
  </r>
  <r>
    <x v="20"/>
    <s v="NN06010111"/>
    <s v="ROLLERS GRINDING                        "/>
    <n v="0"/>
    <n v="0"/>
    <n v="0"/>
    <n v="0"/>
    <n v="0"/>
    <n v="0"/>
    <n v="0"/>
    <n v="0"/>
    <n v="0"/>
    <n v="0"/>
    <n v="0"/>
    <n v="0"/>
    <x v="4"/>
  </r>
  <r>
    <x v="20"/>
    <s v="NN06010112"/>
    <s v="OTHER PROCESSING-RELATED OPER.IONS      "/>
    <n v="0"/>
    <n v="0"/>
    <n v="0"/>
    <n v="0"/>
    <n v="0"/>
    <n v="0"/>
    <n v="0"/>
    <n v="0"/>
    <n v="0"/>
    <n v="0"/>
    <n v="0"/>
    <n v="0"/>
    <x v="4"/>
  </r>
  <r>
    <x v="20"/>
    <s v="NN06010113"/>
    <s v="STEEL SHEETS TRIMMING                   "/>
    <n v="0"/>
    <n v="0"/>
    <n v="0"/>
    <n v="0"/>
    <n v="0"/>
    <n v="0"/>
    <n v="0"/>
    <n v="0"/>
    <n v="0"/>
    <n v="0"/>
    <n v="0"/>
    <n v="0"/>
    <x v="4"/>
  </r>
  <r>
    <x v="20"/>
    <s v="NN06010114"/>
    <s v="SPECIMEN/SAMPLES PREPARATION            "/>
    <n v="0"/>
    <n v="0"/>
    <n v="0"/>
    <n v="0"/>
    <n v="0"/>
    <n v="0"/>
    <n v="0"/>
    <n v="0"/>
    <n v="0"/>
    <n v="0"/>
    <n v="0"/>
    <n v="0"/>
    <x v="4"/>
  </r>
  <r>
    <x v="20"/>
    <s v="NN06010115"/>
    <s v="U.S. TESTING                            "/>
    <n v="0"/>
    <n v="0"/>
    <n v="0"/>
    <n v="0"/>
    <n v="0"/>
    <n v="0"/>
    <n v="0"/>
    <n v="0"/>
    <n v="0"/>
    <n v="0"/>
    <n v="0"/>
    <n v="0"/>
    <x v="4"/>
  </r>
  <r>
    <x v="20"/>
    <s v="NN06010117"/>
    <s v="ISO CERTIFICATION                       "/>
    <n v="0"/>
    <n v="0"/>
    <n v="0"/>
    <n v="0"/>
    <n v="0"/>
    <n v="0"/>
    <n v="0"/>
    <n v="0"/>
    <n v="0"/>
    <n v="0"/>
    <n v="0"/>
    <n v="0"/>
    <x v="4"/>
  </r>
  <r>
    <x v="20"/>
    <s v="NN06010301"/>
    <s v="OTHER INBOUND TRANSPORTS"/>
    <n v="1635.42"/>
    <n v="1567.56"/>
    <n v="2714.0099999999998"/>
    <n v="8932.5400000000009"/>
    <n v="24338.639999999999"/>
    <n v="0"/>
    <n v="0"/>
    <n v="0"/>
    <n v="0"/>
    <n v="0"/>
    <n v="0"/>
    <n v="0"/>
    <x v="4"/>
  </r>
  <r>
    <x v="20"/>
    <s v="NN02040102"/>
    <s v="OTH.MATERIAL ( CLENING,HEALTHY,SIGNALS) "/>
    <n v="345.81"/>
    <n v="345.81"/>
    <n v="345.81000000000006"/>
    <n v="345.81"/>
    <n v="345.81"/>
    <n v="0"/>
    <n v="0"/>
    <n v="0"/>
    <n v="0"/>
    <n v="0"/>
    <n v="0"/>
    <n v="0"/>
    <x v="4"/>
  </r>
  <r>
    <x v="20"/>
    <s v="NN06010122"/>
    <s v="OTHER TECHNICAL SERVICES AND CONSULTANCY"/>
    <n v="7640"/>
    <n v="2044.75"/>
    <n v="2044.75"/>
    <n v="4845.32"/>
    <n v="3994.41"/>
    <n v="0"/>
    <n v="0"/>
    <n v="0"/>
    <n v="0"/>
    <n v="0"/>
    <n v="0"/>
    <n v="0"/>
    <x v="4"/>
  </r>
  <r>
    <x v="20"/>
    <s v="NN07020102"/>
    <s v="PLANT AND SYSTEM LEASING                "/>
    <n v="5667.26"/>
    <n v="3118.1"/>
    <n v="2530.6399999999994"/>
    <n v="2254"/>
    <n v="12280"/>
    <n v="0"/>
    <n v="0"/>
    <n v="0"/>
    <n v="0"/>
    <n v="0"/>
    <n v="0"/>
    <n v="0"/>
    <x v="4"/>
  </r>
  <r>
    <x v="20"/>
    <s v="NN07010101"/>
    <s v="RENT OF EQUIPMENT                       "/>
    <n v="6322.15"/>
    <n v="9009.23"/>
    <n v="9495.6400000000012"/>
    <n v="6755.3"/>
    <n v="4605.01"/>
    <n v="0"/>
    <n v="0"/>
    <n v="0"/>
    <n v="0"/>
    <n v="0"/>
    <n v="0"/>
    <n v="0"/>
    <x v="4"/>
  </r>
  <r>
    <x v="20"/>
    <s v="NN06010302"/>
    <s v="INSURANCES ( INDUSTRIAL )               "/>
    <n v="0"/>
    <n v="0"/>
    <n v="0"/>
    <n v="0"/>
    <n v="0"/>
    <n v="0"/>
    <n v="0"/>
    <n v="0"/>
    <n v="0"/>
    <n v="0"/>
    <n v="0"/>
    <n v="0"/>
    <x v="4"/>
  </r>
  <r>
    <x v="1"/>
    <m/>
    <m/>
    <n v="0"/>
    <n v="0"/>
    <n v="0"/>
    <n v="0"/>
    <n v="0"/>
    <n v="0"/>
    <n v="0"/>
    <n v="0"/>
    <n v="0"/>
    <n v="0"/>
    <n v="0"/>
    <n v="0"/>
    <x v="1"/>
  </r>
  <r>
    <x v="21"/>
    <s v="NN02030101"/>
    <s v="OPENING BALANCES MAINTENANCE            "/>
    <n v="3961298.71"/>
    <n v="0"/>
    <n v="0"/>
    <n v="0"/>
    <n v="0"/>
    <n v="0"/>
    <n v="0"/>
    <n v="0"/>
    <n v="0"/>
    <n v="0"/>
    <n v="0"/>
    <n v="0"/>
    <x v="4"/>
  </r>
  <r>
    <x v="21"/>
    <s v="NN02030102"/>
    <s v="CLOSING BALANCES MAINTENANCE            "/>
    <n v="-3974458.88"/>
    <n v="-70409.899999999994"/>
    <n v="-42309.270000000019"/>
    <n v="91112.81"/>
    <n v="9511.32"/>
    <n v="0"/>
    <n v="0"/>
    <n v="0"/>
    <n v="0"/>
    <n v="0"/>
    <n v="0"/>
    <n v="0"/>
    <x v="4"/>
  </r>
  <r>
    <x v="21"/>
    <s v="NN02030103"/>
    <s v="COST OF MAINTENANCE MATERIAL            "/>
    <n v="136489.57"/>
    <n v="168479.81"/>
    <n v="120569.65999999997"/>
    <n v="71243.5"/>
    <n v="177700.86"/>
    <n v="0"/>
    <n v="0"/>
    <n v="0"/>
    <n v="0"/>
    <n v="0"/>
    <n v="0"/>
    <n v="0"/>
    <x v="4"/>
  </r>
  <r>
    <x v="21"/>
    <s v="NN06010121"/>
    <s v="TECHNICAL SERV.AND CONS.(MAINTENANCE )  "/>
    <n v="137021.34"/>
    <n v="122569.89"/>
    <n v="179314"/>
    <n v="86461.72"/>
    <n v="73005.59"/>
    <n v="0"/>
    <n v="0"/>
    <n v="0"/>
    <n v="0"/>
    <n v="0"/>
    <n v="0"/>
    <n v="0"/>
    <x v="4"/>
  </r>
  <r>
    <x v="1"/>
    <m/>
    <m/>
    <n v="0"/>
    <n v="0"/>
    <n v="0"/>
    <n v="0"/>
    <n v="0"/>
    <n v="0"/>
    <n v="0"/>
    <n v="0"/>
    <n v="0"/>
    <n v="0"/>
    <n v="0"/>
    <n v="0"/>
    <x v="1"/>
  </r>
  <r>
    <x v="1"/>
    <m/>
    <m/>
    <n v="0"/>
    <n v="0"/>
    <n v="0"/>
    <n v="0"/>
    <n v="0"/>
    <n v="0"/>
    <n v="0"/>
    <n v="0"/>
    <n v="0"/>
    <n v="0"/>
    <n v="0"/>
    <n v="0"/>
    <x v="1"/>
  </r>
  <r>
    <x v="1"/>
    <m/>
    <m/>
    <n v="0"/>
    <n v="0"/>
    <n v="0"/>
    <n v="0"/>
    <n v="0"/>
    <n v="0"/>
    <n v="0"/>
    <n v="0"/>
    <n v="0"/>
    <n v="0"/>
    <n v="0"/>
    <n v="0"/>
    <x v="1"/>
  </r>
  <r>
    <x v="1"/>
    <m/>
    <m/>
    <n v="0"/>
    <n v="0"/>
    <n v="0"/>
    <n v="0"/>
    <n v="0"/>
    <n v="0"/>
    <n v="0"/>
    <n v="0"/>
    <n v="0"/>
    <n v="0"/>
    <n v="0"/>
    <n v="0"/>
    <x v="1"/>
  </r>
  <r>
    <x v="22"/>
    <s v="NN06030211"/>
    <s v="STATIONERY AND PRINTERS                 "/>
    <n v="185"/>
    <n v="1255.8699999999999"/>
    <n v="2938.3500000000004"/>
    <n v="46.66"/>
    <n v="3336.08"/>
    <n v="0"/>
    <n v="0"/>
    <n v="0"/>
    <n v="0"/>
    <n v="0"/>
    <n v="0"/>
    <n v="0"/>
    <x v="7"/>
  </r>
  <r>
    <x v="22"/>
    <s v="NN11020108"/>
    <s v="GIFTS                                   "/>
    <n v="0"/>
    <n v="0"/>
    <n v="71"/>
    <n v="0"/>
    <n v="0"/>
    <n v="0"/>
    <n v="0"/>
    <n v="0"/>
    <n v="0"/>
    <n v="0"/>
    <n v="0"/>
    <n v="0"/>
    <x v="7"/>
  </r>
  <r>
    <x v="22"/>
    <s v="NN11020109"/>
    <s v="VAT NON RECOVERABLE"/>
    <n v="0"/>
    <n v="2812.62"/>
    <n v="0"/>
    <m/>
    <m/>
    <m/>
    <m/>
    <m/>
    <m/>
    <m/>
    <m/>
    <m/>
    <x v="1"/>
  </r>
  <r>
    <x v="22"/>
    <s v="NN05080105"/>
    <s v="ADVERTISING EXPENSES AND SPONSORING"/>
    <n v="0"/>
    <n v="0"/>
    <n v="0"/>
    <n v="0"/>
    <n v="0"/>
    <n v="0"/>
    <n v="0"/>
    <n v="0"/>
    <n v="0"/>
    <n v="0"/>
    <n v="0"/>
    <n v="0"/>
    <x v="7"/>
  </r>
  <r>
    <x v="22"/>
    <s v="NN06030107"/>
    <s v="IT CONSULTANCY                          "/>
    <n v="6666.58"/>
    <n v="8200.56"/>
    <n v="8045.2999999999993"/>
    <n v="8296.17"/>
    <n v="9889.2099999999991"/>
    <n v="0"/>
    <n v="0"/>
    <n v="0"/>
    <n v="0"/>
    <n v="0"/>
    <n v="0"/>
    <n v="0"/>
    <x v="7"/>
  </r>
  <r>
    <x v="22"/>
    <s v="NN06030108"/>
    <s v="PAYROLL CONSULTANCIES"/>
    <n v="0"/>
    <n v="0"/>
    <n v="0"/>
    <n v="0"/>
    <n v="0"/>
    <n v="0"/>
    <n v="0"/>
    <n v="0"/>
    <n v="0"/>
    <n v="0"/>
    <n v="0"/>
    <n v="0"/>
    <x v="7"/>
  </r>
  <r>
    <x v="22"/>
    <s v="NN02040103"/>
    <s v="IT MATERIAL                             "/>
    <n v="4604.2299999999996"/>
    <n v="2299.88"/>
    <n v="1480.4700000000003"/>
    <n v="1967.27"/>
    <n v="1170.03"/>
    <n v="0"/>
    <n v="0"/>
    <n v="0"/>
    <n v="0"/>
    <n v="0"/>
    <n v="0"/>
    <n v="0"/>
    <x v="7"/>
  </r>
  <r>
    <x v="22"/>
    <s v="NN06030205"/>
    <s v="MOBILE EXPENSES                         "/>
    <n v="1091.8599999999999"/>
    <n v="1194.83"/>
    <n v="-1932.4699999999996"/>
    <n v="955.96"/>
    <n v="310.11"/>
    <n v="0"/>
    <n v="0"/>
    <n v="0"/>
    <n v="0"/>
    <n v="0"/>
    <n v="0"/>
    <n v="0"/>
    <x v="7"/>
  </r>
  <r>
    <x v="22"/>
    <s v="NN06030204"/>
    <s v="TELEPHONE EXPENSES                      "/>
    <n v="125"/>
    <n v="250.57"/>
    <n v="125.94999999999999"/>
    <n v="125.28"/>
    <n v="23.73"/>
    <n v="0"/>
    <n v="0"/>
    <n v="0"/>
    <n v="0"/>
    <n v="0"/>
    <n v="0"/>
    <n v="0"/>
    <x v="7"/>
  </r>
  <r>
    <x v="22"/>
    <s v="NN06030210"/>
    <s v="REPRESENTATION EXPENSES                 "/>
    <n v="0"/>
    <n v="997.6"/>
    <n v="0"/>
    <n v="0"/>
    <n v="0"/>
    <n v="0"/>
    <n v="0"/>
    <n v="0"/>
    <n v="0"/>
    <n v="0"/>
    <n v="0"/>
    <n v="0"/>
    <x v="7"/>
  </r>
  <r>
    <x v="22"/>
    <s v="NN06020205"/>
    <s v="BUSINESS LUNCH AND DINNERS              "/>
    <n v="1381.92"/>
    <n v="1277.93"/>
    <n v="2528.1999999999998"/>
    <n v="176.8"/>
    <n v="2296.71"/>
    <n v="0"/>
    <n v="0"/>
    <n v="0"/>
    <n v="0"/>
    <n v="0"/>
    <n v="0"/>
    <n v="0"/>
    <x v="7"/>
  </r>
  <r>
    <x v="22"/>
    <s v="NN06020101"/>
    <s v="TRAVEL EXPENSES  -  RESTAURANT          "/>
    <n v="0"/>
    <n v="0"/>
    <n v="0"/>
    <n v="0"/>
    <n v="0"/>
    <n v="0"/>
    <n v="0"/>
    <n v="0"/>
    <n v="0"/>
    <n v="0"/>
    <n v="0"/>
    <n v="0"/>
    <x v="7"/>
  </r>
  <r>
    <x v="22"/>
    <s v="NN06020102"/>
    <s v="TRAVEL EXPENSES  -  HOTEL               "/>
    <n v="81.45"/>
    <n v="393.87"/>
    <n v="80.829999999999984"/>
    <n v="0"/>
    <n v="689.22"/>
    <n v="0"/>
    <n v="0"/>
    <n v="0"/>
    <n v="0"/>
    <n v="0"/>
    <n v="0"/>
    <n v="0"/>
    <x v="7"/>
  </r>
  <r>
    <x v="22"/>
    <s v="NN06020103"/>
    <s v="TRAVEL EXPENSES TRANSP.(FLIGHTS, TRAIN) "/>
    <n v="393.71"/>
    <n v="1446.75"/>
    <n v="2659.34"/>
    <n v="351.15"/>
    <n v="1078.99"/>
    <n v="0"/>
    <n v="0"/>
    <n v="0"/>
    <n v="0"/>
    <n v="0"/>
    <n v="0"/>
    <n v="0"/>
    <x v="7"/>
  </r>
  <r>
    <x v="22"/>
    <s v="NN06020105"/>
    <s v="FUEL EXPENSES                           "/>
    <n v="0"/>
    <n v="0"/>
    <n v="0"/>
    <n v="0"/>
    <n v="61.6"/>
    <n v="0"/>
    <n v="0"/>
    <n v="0"/>
    <n v="0"/>
    <n v="0"/>
    <n v="0"/>
    <n v="0"/>
    <x v="7"/>
  </r>
  <r>
    <x v="22"/>
    <s v="NN06020106"/>
    <s v="TICKET HIGHWAY EXPENSES                 "/>
    <n v="0"/>
    <n v="0"/>
    <n v="7.17"/>
    <n v="65.819999999999993"/>
    <n v="17.989999999999998"/>
    <n v="0"/>
    <n v="0"/>
    <n v="0"/>
    <n v="0"/>
    <n v="0"/>
    <n v="0"/>
    <n v="0"/>
    <x v="7"/>
  </r>
  <r>
    <x v="22"/>
    <s v="NN06020107"/>
    <s v="MILEAGE REIMBOURSEMENT                  "/>
    <n v="406.48"/>
    <n v="540.22"/>
    <n v="782.31999999999994"/>
    <n v="198.01"/>
    <n v="1546.62"/>
    <n v="0"/>
    <n v="0"/>
    <n v="0"/>
    <n v="0"/>
    <n v="0"/>
    <n v="0"/>
    <n v="0"/>
    <x v="7"/>
  </r>
  <r>
    <x v="22"/>
    <s v="NN06020109"/>
    <s v="OTHER TRAVEL EXPENSES                   "/>
    <n v="1.3"/>
    <n v="0"/>
    <n v="0"/>
    <n v="0"/>
    <n v="0"/>
    <n v="0"/>
    <n v="0"/>
    <n v="0"/>
    <n v="0"/>
    <n v="0"/>
    <n v="0"/>
    <n v="0"/>
    <x v="7"/>
  </r>
  <r>
    <x v="22"/>
    <s v="NN06020204"/>
    <s v="PURCHASING OF DRINK AND FOOD            "/>
    <n v="33.979999999999997"/>
    <n v="10.99"/>
    <n v="49.849999999999994"/>
    <n v="26.95"/>
    <n v="204.51"/>
    <n v="0"/>
    <n v="0"/>
    <n v="0"/>
    <n v="0"/>
    <n v="0"/>
    <n v="0"/>
    <n v="0"/>
    <x v="7"/>
  </r>
  <r>
    <x v="22"/>
    <s v="NN06020104"/>
    <s v="SHORT TERM RENT CAR                     "/>
    <n v="0"/>
    <n v="0"/>
    <n v="0"/>
    <n v="0"/>
    <n v="0"/>
    <n v="0"/>
    <n v="0"/>
    <n v="0"/>
    <n v="0"/>
    <n v="0"/>
    <n v="0"/>
    <n v="0"/>
    <x v="7"/>
  </r>
  <r>
    <x v="22"/>
    <s v="NN06030206"/>
    <s v="CAR EXPENSES                            "/>
    <n v="0"/>
    <n v="0"/>
    <n v="0"/>
    <n v="0"/>
    <n v="0"/>
    <n v="0"/>
    <n v="0"/>
    <n v="0"/>
    <n v="0"/>
    <n v="0"/>
    <n v="0"/>
    <n v="0"/>
    <x v="7"/>
  </r>
  <r>
    <x v="22"/>
    <s v="NN06020202"/>
    <s v="TRAINING, STAGES COURSE, MEETINGS_x001a_      "/>
    <n v="2075.83"/>
    <n v="4803.99"/>
    <n v="2435.0500000000011"/>
    <n v="2557.83"/>
    <n v="4910.82"/>
    <n v="0"/>
    <n v="0"/>
    <n v="0"/>
    <n v="0"/>
    <n v="0"/>
    <n v="0"/>
    <n v="0"/>
    <x v="7"/>
  </r>
  <r>
    <x v="22"/>
    <s v="NN06030212"/>
    <s v="SURVEILLANCE SERVICES                   "/>
    <n v="12000.72"/>
    <n v="12387.84"/>
    <n v="11226.480000000003"/>
    <n v="12904"/>
    <n v="14950.72"/>
    <n v="0"/>
    <n v="0"/>
    <n v="0"/>
    <n v="0"/>
    <n v="0"/>
    <n v="0"/>
    <n v="0"/>
    <x v="7"/>
  </r>
  <r>
    <x v="22"/>
    <s v="NN06030101"/>
    <s v="GENERAL CONSULTANCY                     "/>
    <n v="5150"/>
    <n v="6183.33"/>
    <n v="6375.0000000000018"/>
    <n v="2597.5"/>
    <n v="1297.5"/>
    <n v="0"/>
    <n v="0"/>
    <n v="0"/>
    <n v="0"/>
    <n v="0"/>
    <n v="0"/>
    <n v="0"/>
    <x v="7"/>
  </r>
  <r>
    <x v="22"/>
    <s v="NN06010104"/>
    <s v="SERVICES AND CONSULTANCY FROM MTM       "/>
    <n v="27939.17"/>
    <n v="32075.599999999999"/>
    <n v="31887.9"/>
    <n v="31949.96"/>
    <n v="31895.29"/>
    <n v="0"/>
    <n v="0"/>
    <n v="0"/>
    <n v="0"/>
    <n v="0"/>
    <n v="0"/>
    <n v="0"/>
    <x v="7"/>
  </r>
  <r>
    <x v="22"/>
    <s v="NN06030105"/>
    <s v="TAX CONSULTANCY                         "/>
    <n v="6384.77"/>
    <n v="27000"/>
    <n v="790.68999999999505"/>
    <n v="1251.48"/>
    <n v="1301.08"/>
    <n v="0"/>
    <n v="0"/>
    <n v="0"/>
    <n v="0"/>
    <n v="0"/>
    <n v="0"/>
    <n v="0"/>
    <x v="7"/>
  </r>
  <r>
    <x v="22"/>
    <s v="NN06030102"/>
    <s v="LEGAL AND NOTARY CONSULTANCY            "/>
    <n v="21971.14"/>
    <n v="-14399"/>
    <n v="120775.28"/>
    <n v="7642.5"/>
    <n v="13299.5"/>
    <n v="0"/>
    <n v="0"/>
    <n v="0"/>
    <n v="0"/>
    <n v="0"/>
    <n v="0"/>
    <n v="0"/>
    <x v="7"/>
  </r>
  <r>
    <x v="22"/>
    <s v="NN06030109"/>
    <s v="MEDICAL CONSULTANCY                     "/>
    <n v="0"/>
    <n v="0"/>
    <n v="0"/>
    <n v="0"/>
    <n v="0"/>
    <n v="0"/>
    <n v="0"/>
    <n v="0"/>
    <n v="0"/>
    <n v="0"/>
    <n v="0"/>
    <n v="0"/>
    <x v="7"/>
  </r>
  <r>
    <x v="22"/>
    <s v="NN06010106"/>
    <s v="CLEANING SERVICES                       "/>
    <n v="2622.6"/>
    <n v="2668.6"/>
    <n v="2668.6000000000004"/>
    <n v="5100.7"/>
    <n v="3247.75"/>
    <n v="0"/>
    <n v="0"/>
    <n v="0"/>
    <n v="0"/>
    <n v="0"/>
    <n v="0"/>
    <n v="0"/>
    <x v="7"/>
  </r>
  <r>
    <x v="22"/>
    <s v="NN10010105"/>
    <s v="OTHER PROVISION FOR RISKS               "/>
    <n v="16824.419999999998"/>
    <n v="9979.75"/>
    <n v="18618.700000000004"/>
    <n v="18618.7"/>
    <n v="18618.7"/>
    <n v="0"/>
    <n v="0"/>
    <n v="0"/>
    <n v="0"/>
    <n v="0"/>
    <n v="0"/>
    <n v="0"/>
    <x v="7"/>
  </r>
  <r>
    <x v="22"/>
    <s v="NN06020203"/>
    <s v="INSURANCES EMPLOYEES                    "/>
    <n v="6562.31"/>
    <n v="8817.83"/>
    <n v="9575.4500000000007"/>
    <n v="9575.44"/>
    <n v="9739.67"/>
    <n v="0"/>
    <n v="0"/>
    <n v="0"/>
    <n v="0"/>
    <n v="0"/>
    <n v="0"/>
    <n v="0"/>
    <x v="7"/>
  </r>
  <r>
    <x v="22"/>
    <s v="NN06030110"/>
    <s v="TEMPORARY CONSULTANCY ( SERVICES )      "/>
    <n v="0"/>
    <n v="0"/>
    <n v="0"/>
    <n v="0"/>
    <n v="0"/>
    <n v="0"/>
    <n v="0"/>
    <n v="0"/>
    <n v="0"/>
    <n v="0"/>
    <n v="0"/>
    <n v="0"/>
    <x v="7"/>
  </r>
  <r>
    <x v="22"/>
    <s v="NN06030111"/>
    <s v="PERSONNEL RESEARCH CONSULTANCY          "/>
    <n v="24"/>
    <n v="3721.92"/>
    <n v="326.77"/>
    <n v="0"/>
    <n v="119.17"/>
    <n v="0"/>
    <n v="0"/>
    <n v="0"/>
    <n v="0"/>
    <n v="0"/>
    <n v="0"/>
    <n v="0"/>
    <x v="7"/>
  </r>
  <r>
    <x v="22"/>
    <s v="NN07020101"/>
    <s v="CARS                                    "/>
    <n v="91.31"/>
    <n v="-1414.66"/>
    <n v="2738.9300000000003"/>
    <n v="625.70000000000005"/>
    <n v="625.70000000000005"/>
    <n v="0"/>
    <n v="0"/>
    <n v="0"/>
    <n v="0"/>
    <n v="0"/>
    <n v="0"/>
    <n v="0"/>
    <x v="7"/>
  </r>
  <r>
    <x v="22"/>
    <s v="NN06030217"/>
    <s v="POSTAGE"/>
    <n v="105"/>
    <n v="5.49"/>
    <n v="49.13000000000001"/>
    <n v="821.37"/>
    <n v="0"/>
    <n v="0"/>
    <n v="0"/>
    <n v="0"/>
    <n v="0"/>
    <n v="0"/>
    <n v="0"/>
    <n v="0"/>
    <x v="7"/>
  </r>
  <r>
    <x v="22"/>
    <s v="NN07030101"/>
    <s v="OFFICE RENTALS"/>
    <n v="200.01"/>
    <n v="207.19"/>
    <n v="533.3599999999999"/>
    <n v="0"/>
    <n v="840.99"/>
    <n v="0"/>
    <n v="0"/>
    <n v="0"/>
    <n v="0"/>
    <n v="0"/>
    <n v="0"/>
    <n v="0"/>
    <x v="7"/>
  </r>
  <r>
    <x v="22"/>
    <s v="NN07010104"/>
    <s v="OTHER RENTS                             "/>
    <n v="9170.07"/>
    <n v="9900.24"/>
    <n v="448.00000000000364"/>
    <n v="11303.07"/>
    <n v="8534"/>
    <n v="0"/>
    <n v="0"/>
    <n v="0"/>
    <n v="0"/>
    <n v="0"/>
    <n v="0"/>
    <n v="0"/>
    <x v="7"/>
  </r>
  <r>
    <x v="22"/>
    <s v="NN11010104"/>
    <s v="ADMINISTRATIVE PENALTIES"/>
    <n v="0"/>
    <n v="2576.12"/>
    <n v="0"/>
    <n v="0"/>
    <n v="0"/>
    <n v="0"/>
    <n v="0"/>
    <n v="0"/>
    <n v="0"/>
    <n v="0"/>
    <n v="0"/>
    <n v="0"/>
    <x v="7"/>
  </r>
  <r>
    <x v="22"/>
    <s v="NN06030202"/>
    <s v="ADVERTISEMENTS,PRESS RELEASE AND SIMILAR"/>
    <n v="0"/>
    <n v="202.8"/>
    <n v="0"/>
    <n v="0"/>
    <n v="0"/>
    <n v="0"/>
    <n v="0"/>
    <n v="0"/>
    <n v="0"/>
    <n v="0"/>
    <n v="0"/>
    <n v="0"/>
    <x v="7"/>
  </r>
  <r>
    <x v="22"/>
    <s v="NN11010102"/>
    <s v="BOOK, MAGAZINES..                       "/>
    <n v="2659.41"/>
    <n v="-907.89"/>
    <n v="2593.2400000000002"/>
    <n v="2419.2399999999998"/>
    <n v="2419.2399999999998"/>
    <n v="0"/>
    <n v="0"/>
    <n v="0"/>
    <n v="0"/>
    <n v="0"/>
    <n v="0"/>
    <n v="0"/>
    <x v="7"/>
  </r>
  <r>
    <x v="22"/>
    <s v="NN06030104"/>
    <s v="AUDIT SERVICES                          "/>
    <n v="4666.67"/>
    <n v="4666.67"/>
    <n v="4666.67"/>
    <n v="4666.67"/>
    <n v="8716.67"/>
    <n v="0"/>
    <n v="0"/>
    <n v="0"/>
    <n v="0"/>
    <n v="0"/>
    <n v="0"/>
    <n v="0"/>
    <x v="7"/>
  </r>
  <r>
    <x v="22"/>
    <s v="NN11020101"/>
    <s v="LOCAL PROPERTY TAX                      "/>
    <n v="6485.33"/>
    <n v="6485.33"/>
    <n v="6485.3300000000017"/>
    <n v="6916"/>
    <n v="6916"/>
    <n v="0"/>
    <n v="0"/>
    <n v="0"/>
    <n v="0"/>
    <n v="0"/>
    <n v="0"/>
    <n v="0"/>
    <x v="7"/>
  </r>
  <r>
    <x v="22"/>
    <s v="NN06030214"/>
    <s v="FREE SUPPLIES                           "/>
    <n v="234.2"/>
    <n v="276.39999999999998"/>
    <n v="802.66000000000008"/>
    <n v="575.19000000000005"/>
    <n v="585.39"/>
    <n v="0"/>
    <n v="0"/>
    <n v="0"/>
    <n v="0"/>
    <n v="0"/>
    <n v="0"/>
    <n v="0"/>
    <x v="7"/>
  </r>
  <r>
    <x v="22"/>
    <s v="NN06030215"/>
    <s v="OTHERS                                  "/>
    <n v="390.78"/>
    <n v="299.64999999999998"/>
    <n v="2593.8200000000002"/>
    <n v="1822.24"/>
    <n v="611.32000000000005"/>
    <n v="0"/>
    <n v="0"/>
    <n v="0"/>
    <n v="0"/>
    <n v="0"/>
    <n v="0"/>
    <n v="0"/>
    <x v="7"/>
  </r>
  <r>
    <x v="22"/>
    <s v="NN11010103"/>
    <s v="CONTR. ASSOC. (CREDIT CARD, IND. ASS.)  "/>
    <n v="0"/>
    <n v="3557.98"/>
    <n v="0"/>
    <n v="139"/>
    <n v="94.24"/>
    <n v="0"/>
    <n v="0"/>
    <n v="0"/>
    <n v="0"/>
    <n v="0"/>
    <n v="0"/>
    <n v="0"/>
    <x v="7"/>
  </r>
  <r>
    <x v="1"/>
    <m/>
    <m/>
    <n v="0"/>
    <n v="0"/>
    <n v="0"/>
    <n v="0"/>
    <n v="0"/>
    <n v="0"/>
    <n v="0"/>
    <n v="0"/>
    <n v="0"/>
    <n v="0"/>
    <n v="0"/>
    <n v="0"/>
    <x v="1"/>
  </r>
  <r>
    <x v="23"/>
    <s v="NN09010106"/>
    <s v="DEPRECIATION OF OTHER INTANGIBLE ASSETS "/>
    <n v="159.06"/>
    <n v="159.06"/>
    <n v="159.06"/>
    <n v="159.06"/>
    <n v="159.07"/>
    <n v="0"/>
    <n v="0"/>
    <n v="0"/>
    <n v="0"/>
    <n v="0"/>
    <n v="0"/>
    <n v="0"/>
    <x v="4"/>
  </r>
  <r>
    <x v="23"/>
    <s v="NN09020104"/>
    <s v="DEPR. ON GENERIC AND SPECIFIC PLANTS    "/>
    <n v="103943.7"/>
    <n v="103681.02"/>
    <n v="104064.59"/>
    <n v="104063.09"/>
    <n v="104354.32"/>
    <n v="0"/>
    <n v="0"/>
    <n v="0"/>
    <n v="0"/>
    <n v="0"/>
    <n v="0"/>
    <n v="0"/>
    <x v="4"/>
  </r>
  <r>
    <x v="23"/>
    <s v="NN09020102"/>
    <s v="DEPRECIATION ON INDUSTRIAL BUILDINGS    "/>
    <n v="0"/>
    <n v="0"/>
    <n v="0"/>
    <n v="0"/>
    <n v="0"/>
    <n v="0"/>
    <n v="0"/>
    <n v="0"/>
    <n v="0"/>
    <n v="0"/>
    <n v="0"/>
    <n v="0"/>
    <x v="4"/>
  </r>
  <r>
    <x v="23"/>
    <s v="NN09020116"/>
    <s v="DEPRECIATION ON ASSETS LESS 1M WORTH"/>
    <n v="1229.29"/>
    <n v="1229.3"/>
    <n v="1229.29"/>
    <n v="1229.3"/>
    <n v="1229.3"/>
    <n v="0"/>
    <n v="0"/>
    <n v="0"/>
    <n v="0"/>
    <n v="0"/>
    <n v="0"/>
    <n v="0"/>
    <x v="4"/>
  </r>
  <r>
    <x v="23"/>
    <s v="NN09060103"/>
    <s v="DEPRECIATION - COMMERCIAL EQUIPMENT IFRS16"/>
    <n v="13897.92"/>
    <n v="13897.92"/>
    <n v="13897.920000000002"/>
    <n v="13897.92"/>
    <n v="13897.92"/>
    <n v="0"/>
    <n v="0"/>
    <n v="0"/>
    <n v="0"/>
    <n v="0"/>
    <n v="0"/>
    <n v="0"/>
    <x v="4"/>
  </r>
  <r>
    <x v="23"/>
    <s v="NN09060104"/>
    <s v="DEPRECIATION - OTHER LEASED ASSETS IFRS16"/>
    <n v="1758.76"/>
    <n v="1758.76"/>
    <n v="1758.7599999999998"/>
    <n v="1758.76"/>
    <n v="1758.76"/>
    <n v="0"/>
    <n v="0"/>
    <n v="0"/>
    <n v="0"/>
    <n v="0"/>
    <n v="0"/>
    <n v="0"/>
    <x v="4"/>
  </r>
  <r>
    <x v="1"/>
    <m/>
    <m/>
    <n v="0"/>
    <n v="0"/>
    <n v="0"/>
    <n v="0"/>
    <n v="0"/>
    <n v="0"/>
    <n v="0"/>
    <n v="0"/>
    <n v="0"/>
    <n v="0"/>
    <n v="0"/>
    <n v="0"/>
    <x v="1"/>
  </r>
  <r>
    <x v="1"/>
    <m/>
    <m/>
    <n v="0"/>
    <n v="0"/>
    <n v="0"/>
    <n v="0"/>
    <n v="0"/>
    <n v="0"/>
    <n v="0"/>
    <n v="0"/>
    <n v="0"/>
    <n v="0"/>
    <n v="0"/>
    <n v="0"/>
    <x v="1"/>
  </r>
  <r>
    <x v="24"/>
    <s v="NN01010101"/>
    <s v="OPENING BALANCES PLATES FINISHED PRODUCT"/>
    <n v="5897562"/>
    <n v="0"/>
    <n v="0"/>
    <n v="0"/>
    <n v="0"/>
    <n v="0"/>
    <n v="0"/>
    <n v="0"/>
    <n v="0"/>
    <n v="0"/>
    <n v="0"/>
    <n v="0"/>
    <x v="4"/>
  </r>
  <r>
    <x v="24"/>
    <s v="NN01010201"/>
    <s v="CLOSING BALANCES PLATES FINISHED PRODUCT"/>
    <n v="-5092166"/>
    <n v="-330248"/>
    <n v="-802045"/>
    <n v="-2124388"/>
    <n v="1560056"/>
    <n v="0"/>
    <n v="0"/>
    <n v="0"/>
    <n v="0"/>
    <n v="0"/>
    <n v="0"/>
    <n v="0"/>
    <x v="4"/>
  </r>
  <r>
    <x v="1"/>
    <m/>
    <m/>
    <n v="0"/>
    <n v="0"/>
    <n v="0"/>
    <n v="0"/>
    <n v="0"/>
    <n v="0"/>
    <n v="0"/>
    <n v="0"/>
    <n v="0"/>
    <n v="0"/>
    <n v="0"/>
    <n v="0"/>
    <x v="1"/>
  </r>
  <r>
    <x v="22"/>
    <s v="NN06030201"/>
    <s v="OPERATIONAL BANKS'COMMISSION            "/>
    <n v="4806.67"/>
    <n v="7149.05"/>
    <n v="6099.8799999999974"/>
    <n v="5117.96"/>
    <n v="1865.59"/>
    <n v="0"/>
    <n v="0"/>
    <n v="0"/>
    <n v="0"/>
    <n v="0"/>
    <n v="0"/>
    <n v="0"/>
    <x v="7"/>
  </r>
  <r>
    <x v="25"/>
    <s v="PP02040105"/>
    <s v="EXPENSES ON EXCHANGE RATES              "/>
    <n v="649150.24"/>
    <n v="11752.4"/>
    <n v="49437.349999999977"/>
    <n v="7598.48"/>
    <n v="142653.46"/>
    <n v="0"/>
    <n v="0"/>
    <n v="0"/>
    <n v="0"/>
    <n v="0"/>
    <n v="0"/>
    <n v="0"/>
    <x v="8"/>
  </r>
  <r>
    <x v="25"/>
    <s v="PP02040106"/>
    <s v="EXCHANGE RATE PROVISION"/>
    <n v="0"/>
    <n v="0"/>
    <n v="0"/>
    <n v="0"/>
    <n v="0"/>
    <n v="0"/>
    <n v="0"/>
    <n v="0"/>
    <n v="0"/>
    <n v="0"/>
    <n v="0"/>
    <n v="0"/>
    <x v="1"/>
  </r>
  <r>
    <x v="25"/>
    <s v="PP01040105"/>
    <s v="OPERATIONAL PROCEEDS FROM EXCHANGE RATE "/>
    <n v="-763989.67"/>
    <n v="-17961.09"/>
    <n v="-57274.25"/>
    <n v="46804.36"/>
    <n v="-267368.71000000002"/>
    <n v="0"/>
    <n v="0"/>
    <n v="0"/>
    <n v="0"/>
    <n v="0"/>
    <n v="0"/>
    <n v="0"/>
    <x v="8"/>
  </r>
  <r>
    <x v="22"/>
    <s v="PP02050112"/>
    <s v="EXPENSES ROUNDING"/>
    <n v="110.76"/>
    <n v="0"/>
    <n v="10.309999999999988"/>
    <n v="2.06"/>
    <n v="6.07"/>
    <n v="0"/>
    <n v="0"/>
    <n v="0"/>
    <n v="0"/>
    <n v="0"/>
    <n v="0"/>
    <n v="0"/>
    <x v="7"/>
  </r>
  <r>
    <x v="1"/>
    <m/>
    <m/>
    <n v="0"/>
    <n v="0"/>
    <n v="0"/>
    <n v="0"/>
    <n v="0"/>
    <n v="0"/>
    <n v="0"/>
    <n v="0"/>
    <n v="0"/>
    <n v="0"/>
    <n v="0"/>
    <n v="0"/>
    <x v="1"/>
  </r>
  <r>
    <x v="1"/>
    <m/>
    <m/>
    <n v="0"/>
    <n v="0"/>
    <n v="0"/>
    <n v="0"/>
    <n v="0"/>
    <n v="0"/>
    <n v="0"/>
    <n v="0"/>
    <n v="0"/>
    <n v="0"/>
    <n v="0"/>
    <n v="0"/>
    <x v="1"/>
  </r>
  <r>
    <x v="26"/>
    <s v="PP02030103"/>
    <s v="INTEREST TO PARENT COMPANIES            "/>
    <n v="73055.38"/>
    <n v="68523.73"/>
    <n v="63901.330000000016"/>
    <n v="38663.33"/>
    <n v="35166.68"/>
    <n v="0"/>
    <n v="0"/>
    <n v="0"/>
    <n v="0"/>
    <n v="0"/>
    <n v="0"/>
    <n v="0"/>
    <x v="9"/>
  </r>
  <r>
    <x v="1"/>
    <s v="PP01040104"/>
    <s v="INCOME FOR PUBLIC CONTRIBUTION          "/>
    <n v="0"/>
    <n v="0"/>
    <n v="0"/>
    <n v="0"/>
    <n v="0"/>
    <n v="0"/>
    <n v="0"/>
    <n v="0"/>
    <n v="0"/>
    <n v="0"/>
    <n v="0"/>
    <n v="0"/>
    <x v="9"/>
  </r>
  <r>
    <x v="27"/>
    <s v="PP01040102"/>
    <s v="INTEREST FROM BANKS"/>
    <n v="0"/>
    <n v="0"/>
    <n v="0"/>
    <n v="0"/>
    <n v="0"/>
    <n v="0"/>
    <n v="0"/>
    <n v="0"/>
    <n v="0"/>
    <n v="0"/>
    <n v="0"/>
    <n v="0"/>
    <x v="9"/>
  </r>
  <r>
    <x v="27"/>
    <s v="PP01040101"/>
    <s v="INTEREST FROM CUSTOMERS"/>
    <n v="0"/>
    <n v="0"/>
    <n v="0"/>
    <n v="0"/>
    <n v="0"/>
    <n v="0"/>
    <n v="0"/>
    <n v="0"/>
    <n v="0"/>
    <n v="0"/>
    <n v="0"/>
    <n v="0"/>
    <x v="9"/>
  </r>
  <r>
    <x v="27"/>
    <s v="PP01040108"/>
    <s v="INTEREST FOR LATE IN PAYMENTS"/>
    <n v="-1546.2"/>
    <n v="0"/>
    <n v="0"/>
    <n v="0"/>
    <n v="2789.97"/>
    <n v="0"/>
    <n v="0"/>
    <n v="0"/>
    <n v="0"/>
    <n v="0"/>
    <n v="0"/>
    <n v="0"/>
    <x v="9"/>
  </r>
  <r>
    <x v="28"/>
    <s v="PP02040103"/>
    <s v="INTEREST TO SUPPLIERS"/>
    <n v="0"/>
    <n v="0"/>
    <n v="0"/>
    <n v="0"/>
    <n v="0"/>
    <n v="0"/>
    <n v="0"/>
    <n v="0"/>
    <n v="0"/>
    <n v="0"/>
    <n v="0"/>
    <n v="0"/>
    <x v="7"/>
  </r>
  <r>
    <x v="27"/>
    <s v="PP02050102"/>
    <s v="OTHER FINANCIAL INTEREST AND EXPENSES"/>
    <n v="138518.41"/>
    <n v="108628.94"/>
    <n v="99292.860000000015"/>
    <n v="108892.64"/>
    <n v="134040.93"/>
    <n v="0"/>
    <n v="0"/>
    <n v="0"/>
    <n v="0"/>
    <n v="0"/>
    <n v="0"/>
    <n v="0"/>
    <x v="9"/>
  </r>
  <r>
    <x v="28"/>
    <s v="PP02040101"/>
    <s v="INTEREST ON BONDED LOANS"/>
    <n v="2994.91"/>
    <n v="2994.91"/>
    <n v="2422.0599999999995"/>
    <n v="2803.96"/>
    <n v="2803.96"/>
    <n v="0"/>
    <n v="0"/>
    <n v="0"/>
    <n v="0"/>
    <n v="0"/>
    <n v="0"/>
    <n v="0"/>
    <x v="9"/>
  </r>
  <r>
    <x v="1"/>
    <m/>
    <m/>
    <n v="0"/>
    <n v="0"/>
    <n v="0"/>
    <n v="0"/>
    <n v="0"/>
    <n v="0"/>
    <n v="0"/>
    <n v="0"/>
    <n v="0"/>
    <n v="0"/>
    <n v="0"/>
    <n v="0"/>
    <x v="1"/>
  </r>
  <r>
    <x v="29"/>
    <s v="NN11010101"/>
    <s v="LOSS ON RECEIVABLES                     "/>
    <n v="0"/>
    <n v="0"/>
    <n v="0"/>
    <n v="0"/>
    <n v="-0.01"/>
    <n v="0"/>
    <n v="0"/>
    <n v="0"/>
    <n v="0"/>
    <n v="0"/>
    <n v="0"/>
    <n v="0"/>
    <x v="4"/>
  </r>
  <r>
    <x v="29"/>
    <s v="NN09030101"/>
    <s v="PROVISION FOR BAD DEBTS                 "/>
    <n v="0"/>
    <n v="0"/>
    <n v="0"/>
    <n v="0"/>
    <n v="0"/>
    <n v="0"/>
    <n v="0"/>
    <n v="0"/>
    <n v="0"/>
    <n v="0"/>
    <n v="0"/>
    <n v="0"/>
    <x v="4"/>
  </r>
  <r>
    <x v="1"/>
    <m/>
    <m/>
    <n v="0"/>
    <n v="0"/>
    <n v="0"/>
    <n v="0"/>
    <n v="0"/>
    <n v="0"/>
    <n v="0"/>
    <n v="0"/>
    <n v="0"/>
    <n v="0"/>
    <n v="0"/>
    <n v="0"/>
    <x v="1"/>
  </r>
  <r>
    <x v="1"/>
    <s v="NN11010105"/>
    <s v="CAPITAL LOSSES ON TRANSFER  TANG/INTANG "/>
    <n v="0"/>
    <n v="0"/>
    <n v="0"/>
    <n v="0"/>
    <n v="0"/>
    <n v="0"/>
    <n v="0"/>
    <n v="0"/>
    <n v="0"/>
    <n v="0"/>
    <n v="0"/>
    <n v="0"/>
    <x v="1"/>
  </r>
  <r>
    <x v="1"/>
    <s v="RR02010106"/>
    <s v="OTHERS                                  "/>
    <n v="0"/>
    <n v="0"/>
    <n v="0"/>
    <n v="0"/>
    <n v="0"/>
    <n v="0"/>
    <n v="0"/>
    <n v="0"/>
    <n v="0"/>
    <n v="0"/>
    <n v="0"/>
    <n v="0"/>
    <x v="1"/>
  </r>
  <r>
    <x v="1"/>
    <s v="PP01010102"/>
    <s v="DIVIDENDS FROM RELATED COMPANIES        "/>
    <n v="0"/>
    <n v="0"/>
    <n v="0"/>
    <n v="0"/>
    <n v="0"/>
    <n v="0"/>
    <n v="0"/>
    <n v="0"/>
    <n v="0"/>
    <n v="0"/>
    <n v="0"/>
    <n v="0"/>
    <x v="1"/>
  </r>
  <r>
    <x v="30"/>
    <s v="SS01010101"/>
    <s v="INCOME TAXES PREVIOUS YEARS"/>
    <n v="0"/>
    <n v="0"/>
    <n v="0"/>
    <n v="0"/>
    <n v="0"/>
    <n v="0"/>
    <n v="0"/>
    <n v="0"/>
    <n v="0"/>
    <n v="0"/>
    <n v="0"/>
    <n v="0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">
  <r>
    <s v="BB01040102"/>
    <s v="LICENSES"/>
    <n v="177786.63"/>
    <n v="177786.63"/>
    <n v="177786.63"/>
    <n v="177786.63"/>
    <n v="177786.63"/>
    <m/>
    <m/>
    <m/>
    <m/>
    <m/>
    <m/>
    <m/>
    <x v="0"/>
    <x v="0"/>
    <s v="Intangible Assets Cost"/>
  </r>
  <r>
    <s v="BB01040111"/>
    <s v="DEPR LICENCES AND TRADE MARKS"/>
    <n v="-174764.41"/>
    <n v="-174923.47"/>
    <n v="-175082.53"/>
    <n v="-175241.59"/>
    <n v="-175400.66"/>
    <m/>
    <m/>
    <m/>
    <m/>
    <m/>
    <m/>
    <m/>
    <x v="0"/>
    <x v="0"/>
    <s v="Accumulated Amortisation"/>
  </r>
  <r>
    <s v="BB01060101"/>
    <s v="WIP ON INTANGILE ASSETS"/>
    <n v="0"/>
    <n v="0"/>
    <n v="0"/>
    <n v="0"/>
    <n v="0"/>
    <m/>
    <m/>
    <m/>
    <m/>
    <m/>
    <m/>
    <m/>
    <x v="0"/>
    <x v="1"/>
    <s v="Intangible Assets in Progress"/>
  </r>
  <r>
    <s v="BB02010101"/>
    <s v="LANDS"/>
    <n v="400000"/>
    <n v="400000"/>
    <n v="400000"/>
    <n v="400000"/>
    <n v="400000"/>
    <m/>
    <m/>
    <m/>
    <m/>
    <m/>
    <m/>
    <m/>
    <x v="0"/>
    <x v="2"/>
    <s v="Tangible Fixed Assets Cost"/>
  </r>
  <r>
    <s v="BB02010102"/>
    <s v="BUILDINGS"/>
    <n v="882157.15"/>
    <n v="882157.15"/>
    <n v="882157.15"/>
    <n v="882157.15"/>
    <n v="882157.15"/>
    <m/>
    <m/>
    <m/>
    <m/>
    <m/>
    <m/>
    <m/>
    <x v="0"/>
    <x v="2"/>
    <s v="Tangible Fixed Assets Cost"/>
  </r>
  <r>
    <s v="BB02010112"/>
    <s v="COMMON USE BUILDING DEPR. RESERVE"/>
    <n v="-882157.15"/>
    <n v="-882157.15"/>
    <n v="-882157.15"/>
    <n v="-882157.15"/>
    <n v="-882157.15"/>
    <m/>
    <m/>
    <m/>
    <m/>
    <m/>
    <m/>
    <m/>
    <x v="0"/>
    <x v="2"/>
    <s v="Common Use Building Depr. Reserve"/>
  </r>
  <r>
    <s v="BB02020101"/>
    <s v="STANDARD AND SPECIAL EQUIPMENT"/>
    <n v="36286315.579999998"/>
    <n v="36286315.579999998"/>
    <n v="36326053.579999998"/>
    <n v="36326053.579999998"/>
    <n v="36368591.979999997"/>
    <m/>
    <m/>
    <m/>
    <m/>
    <m/>
    <m/>
    <m/>
    <x v="0"/>
    <x v="2"/>
    <s v="Tangible Fixed Assets Cost"/>
  </r>
  <r>
    <s v="BB02020111"/>
    <s v="PROVISION FOR DEPRECIATION STANDARD AND SPECIFIC PLANTS"/>
    <n v="-29065086.27"/>
    <n v="-29168767.289999999"/>
    <n v="-29272831.879999999"/>
    <n v="-29376894.969999999"/>
    <n v="-29481249.289999999"/>
    <m/>
    <m/>
    <m/>
    <m/>
    <m/>
    <m/>
    <m/>
    <x v="0"/>
    <x v="2"/>
    <s v="Tangible Fixed Assets Cost"/>
  </r>
  <r>
    <s v="BB02040101"/>
    <s v="FITTINGS AND FURNITURE"/>
    <n v="118442.01"/>
    <n v="118442.01"/>
    <n v="118442.01"/>
    <n v="118442.01"/>
    <n v="118442.01"/>
    <m/>
    <m/>
    <m/>
    <m/>
    <m/>
    <m/>
    <m/>
    <x v="0"/>
    <x v="2"/>
    <s v="Provision For Depreciation Electronic/Electric Office Equipment"/>
  </r>
  <r>
    <s v="BB02040102"/>
    <s v="ELECTRONIC AND ELECTRIC OFFICE EQUIP."/>
    <n v="123756.89"/>
    <n v="123756.89"/>
    <n v="123756.89"/>
    <n v="123756.89"/>
    <n v="123756.89"/>
    <m/>
    <m/>
    <m/>
    <m/>
    <m/>
    <m/>
    <m/>
    <x v="0"/>
    <x v="2"/>
    <s v="Provision For Depreciation Standard And Specific Plants"/>
  </r>
  <r>
    <s v="BB02040111"/>
    <s v="PROVISION FOR DEPRECIATION FITTINGS AND FURNITURE"/>
    <n v="-118442.01"/>
    <n v="-118442.01"/>
    <n v="-118442.01"/>
    <n v="-118442.01"/>
    <n v="-118442.01"/>
    <m/>
    <m/>
    <m/>
    <m/>
    <m/>
    <m/>
    <m/>
    <x v="0"/>
    <x v="2"/>
    <s v="Tangible Fixed Assets Cost"/>
  </r>
  <r>
    <s v="BB02040112"/>
    <s v="PROVISION FOR DEPRECIATION ELECTRONIC/ELECTRIC OFFICE EQUIPMENT"/>
    <n v="-90263.62"/>
    <n v="-91492.92"/>
    <n v="-92722.21"/>
    <n v="-93951.51"/>
    <n v="-95180.81"/>
    <m/>
    <m/>
    <m/>
    <m/>
    <m/>
    <m/>
    <m/>
    <x v="0"/>
    <x v="2"/>
    <s v="Provision For Depreciation Fittings And Furniture"/>
  </r>
  <r>
    <s v="BB02050101"/>
    <s v="WIP ON TANGIBLE ASSETS"/>
    <n v="700161.28"/>
    <n v="708661.28"/>
    <n v="721421.31"/>
    <n v="726144.31"/>
    <n v="725101.31"/>
    <m/>
    <m/>
    <m/>
    <m/>
    <m/>
    <m/>
    <m/>
    <x v="0"/>
    <x v="1"/>
    <s v="Tangible Assets in Progress"/>
  </r>
  <r>
    <s v="BB02060103"/>
    <s v="RIGHT OF USE - COMMERCIAL EQUIPMENT IFRS16"/>
    <n v="1125459.69"/>
    <n v="1125459.69"/>
    <n v="1125459.69"/>
    <n v="1125459.69"/>
    <n v="1125459.69"/>
    <m/>
    <m/>
    <m/>
    <m/>
    <m/>
    <m/>
    <m/>
    <x v="0"/>
    <x v="2"/>
    <s v="Right Of Use - Commercial Equipment Ifrs16"/>
  </r>
  <r>
    <s v="BB02060104"/>
    <s v="RIGHT OF USE - OTHER LEASED ASSETS IFRS16"/>
    <n v="141694.5"/>
    <n v="141694.5"/>
    <n v="141694.5"/>
    <n v="141694.5"/>
    <n v="141694.5"/>
    <m/>
    <m/>
    <m/>
    <m/>
    <m/>
    <m/>
    <m/>
    <x v="0"/>
    <x v="2"/>
    <s v="Right Of Use - Other Leased Assets Ifrs16"/>
  </r>
  <r>
    <s v="BB02060113"/>
    <s v="RIGHT OF USE DEPN - COMMERCIAL EQUIPMENT IFRS16"/>
    <n v="-763809.62"/>
    <n v="-777707.54"/>
    <n v="-791605.46"/>
    <n v="-805503.38"/>
    <n v="-819401.3"/>
    <m/>
    <m/>
    <m/>
    <m/>
    <m/>
    <m/>
    <m/>
    <x v="0"/>
    <x v="2"/>
    <s v="Right Of Use Depn - Commercial Equipment Ifrs16"/>
  </r>
  <r>
    <s v="BB02060114"/>
    <s v="RIGHT OF USE DEPN - OTHER LEASED ASSETS IFRS16"/>
    <n v="-113564.81"/>
    <n v="-115323.57"/>
    <n v="-117082.33"/>
    <n v="-118841.09"/>
    <n v="-120599.85"/>
    <m/>
    <m/>
    <m/>
    <m/>
    <m/>
    <m/>
    <m/>
    <x v="0"/>
    <x v="2"/>
    <s v="Right Of Use Depn - Other Leased Assets Ifrs16"/>
  </r>
  <r>
    <s v="BB03010102"/>
    <s v="SHAREHOLDINGS IN AFFILIATED COMPANY"/>
    <n v="6.87"/>
    <n v="6.87"/>
    <n v="6.87"/>
    <n v="6.87"/>
    <n v="6.87"/>
    <m/>
    <m/>
    <m/>
    <m/>
    <m/>
    <m/>
    <m/>
    <x v="1"/>
    <x v="3"/>
    <s v="SHAREHOLDINGS IN AFFILIATED COMPANY"/>
  </r>
  <r>
    <s v="CC01010201"/>
    <s v="CLOSING BALANCES RAW MATERIALS PLATES"/>
    <n v="26330455"/>
    <n v="26553050"/>
    <n v="28052395.75"/>
    <n v="29171192"/>
    <n v="28088893.68"/>
    <m/>
    <m/>
    <m/>
    <m/>
    <m/>
    <m/>
    <m/>
    <x v="1"/>
    <x v="4"/>
    <s v="Raw Materials - Azov"/>
  </r>
  <r>
    <s v="CC01010401"/>
    <s v="CLOSING BALANCE SUNDRY MAT. AND SPECIAL CONSUMABLES"/>
    <n v="98246.3"/>
    <n v="97406.05"/>
    <n v="91053.84"/>
    <n v="86067.55"/>
    <n v="93319.48"/>
    <m/>
    <m/>
    <m/>
    <m/>
    <m/>
    <m/>
    <m/>
    <x v="1"/>
    <x v="4"/>
    <s v="Consumable Spares"/>
  </r>
  <r>
    <s v="CC01010601"/>
    <s v="CLOSING BALANCE MAINTENANCE MATERIALS"/>
    <n v="3974458.88"/>
    <n v="4044868.78"/>
    <n v="4087178.05"/>
    <n v="3996065.24"/>
    <n v="3986553.92"/>
    <m/>
    <m/>
    <m/>
    <m/>
    <m/>
    <m/>
    <m/>
    <x v="1"/>
    <x v="4"/>
    <s v="Spare Parts"/>
  </r>
  <r>
    <s v="CC01010602"/>
    <s v="DEVALUATION FUND MAINTENANCE MATERIALS"/>
    <n v="301285.84000000003"/>
    <n v="275454.32"/>
    <n v="253652.77"/>
    <n v="337910.65"/>
    <n v="313917.49"/>
    <m/>
    <m/>
    <m/>
    <m/>
    <m/>
    <m/>
    <m/>
    <x v="1"/>
    <x v="4"/>
    <s v="Work Rolls"/>
  </r>
  <r>
    <s v="CC01030201"/>
    <s v="CLOSING BALANCES PLATES FINISHED PRODUCTS"/>
    <n v="5092166"/>
    <n v="5422414"/>
    <n v="6224459"/>
    <n v="8348847"/>
    <n v="6788791"/>
    <m/>
    <m/>
    <m/>
    <m/>
    <m/>
    <m/>
    <m/>
    <x v="1"/>
    <x v="4"/>
    <s v="Finished Goods"/>
  </r>
  <r>
    <s v="CC01040201"/>
    <s v="CLOSING BALANCES TRADING PLATES"/>
    <n v="2410963.98"/>
    <n v="3040673.19"/>
    <n v="4292894.3899999997"/>
    <n v="3381684.24"/>
    <n v="3852798.2"/>
    <m/>
    <m/>
    <m/>
    <m/>
    <m/>
    <m/>
    <m/>
    <x v="1"/>
    <x v="4"/>
    <s v="Finished Goods"/>
  </r>
  <r>
    <s v="CC01040202"/>
    <s v="CLOSING BALANCES TRADING COILS"/>
    <n v="0"/>
    <n v="0"/>
    <n v="0"/>
    <n v="0"/>
    <n v="0"/>
    <m/>
    <m/>
    <m/>
    <m/>
    <m/>
    <m/>
    <m/>
    <x v="1"/>
    <x v="4"/>
    <s v="Finished Goods"/>
  </r>
  <r>
    <s v="CC01050102"/>
    <s v="ADVANCES TO SUPPLIERS"/>
    <n v="71293.83"/>
    <n v="71293.83"/>
    <n v="12000"/>
    <n v="29606.6"/>
    <n v="35614.42"/>
    <m/>
    <m/>
    <m/>
    <m/>
    <m/>
    <m/>
    <m/>
    <x v="1"/>
    <x v="5"/>
    <s v="Advances To Suppliers"/>
  </r>
  <r>
    <s v="CC02010101"/>
    <s v="RECEIVABLES FROM CUSTOMERS FOR ISSUED INVOICES"/>
    <n v="45681886.640000001"/>
    <n v="49474279.57"/>
    <n v="52787896.280000001"/>
    <n v="51490244.240000002"/>
    <n v="49774302.920000002"/>
    <m/>
    <m/>
    <m/>
    <m/>
    <m/>
    <m/>
    <m/>
    <x v="1"/>
    <x v="5"/>
    <s v="Receivables From Customers For Issued Invoices"/>
  </r>
  <r>
    <s v="CC02010103"/>
    <s v="RECEIVABLES FROM CUSTOMERS FOR CREDIT NOTE TO BE ISSUED"/>
    <n v="-18704.740000000002"/>
    <n v="-20000"/>
    <n v="-30000"/>
    <n v="-40000"/>
    <n v="-50000"/>
    <m/>
    <m/>
    <m/>
    <m/>
    <m/>
    <m/>
    <m/>
    <x v="1"/>
    <x v="5"/>
    <s v="Receivables From Customers For Credit Note To Be Issued"/>
  </r>
  <r>
    <s v="CC02010105"/>
    <s v="PROVISION FOR DOUBTFUL ACCOUNTS"/>
    <n v="-0.09"/>
    <n v="-0.09"/>
    <n v="-0.09"/>
    <n v="-0.09"/>
    <n v="-0.09"/>
    <m/>
    <m/>
    <m/>
    <m/>
    <m/>
    <m/>
    <m/>
    <x v="1"/>
    <x v="5"/>
    <s v="Provision For Doubtful Accounts"/>
  </r>
  <r>
    <s v="CC02010112"/>
    <s v="Debtors Sold to RBI GBP"/>
    <n v="0"/>
    <n v="0"/>
    <n v="0"/>
    <n v="0"/>
    <n v="0"/>
    <m/>
    <m/>
    <m/>
    <m/>
    <m/>
    <m/>
    <m/>
    <x v="1"/>
    <x v="5"/>
    <s v="Debtors Sold to RBI GBP"/>
  </r>
  <r>
    <s v="CC02010113"/>
    <s v="Debtors Sold to RBI EUR"/>
    <n v="0"/>
    <n v="0"/>
    <n v="0"/>
    <n v="0"/>
    <n v="0"/>
    <m/>
    <m/>
    <m/>
    <m/>
    <m/>
    <m/>
    <m/>
    <x v="1"/>
    <x v="5"/>
    <s v="Debtors Sold to RBI EUR"/>
  </r>
  <r>
    <s v="CC02010114"/>
    <s v="Debt vs RBI GBP"/>
    <n v="0"/>
    <n v="0"/>
    <n v="0"/>
    <n v="0"/>
    <n v="0"/>
    <m/>
    <m/>
    <m/>
    <m/>
    <m/>
    <m/>
    <m/>
    <x v="1"/>
    <x v="5"/>
    <s v="Debt vs RBI GBP"/>
  </r>
  <r>
    <s v="CC02010115"/>
    <s v="Debt Vs RBI EUR"/>
    <n v="0"/>
    <n v="0"/>
    <n v="0"/>
    <n v="0"/>
    <n v="0"/>
    <m/>
    <m/>
    <m/>
    <m/>
    <m/>
    <m/>
    <m/>
    <x v="1"/>
    <x v="5"/>
    <s v="Debt Vs RBI EUR"/>
  </r>
  <r>
    <s v="CC02010116"/>
    <s v="DEBTORS SOLD TO RBI GBP"/>
    <n v="-12640745.630000001"/>
    <n v="-14347453.26"/>
    <n v="-16691683.789999999"/>
    <n v="-15986229.210000001"/>
    <n v="-15937380.289999999"/>
    <m/>
    <m/>
    <m/>
    <m/>
    <m/>
    <m/>
    <m/>
    <x v="1"/>
    <x v="5"/>
    <s v="Receivables From Subsidiary Companies For Issued Invoices"/>
  </r>
  <r>
    <s v="CC02010117"/>
    <s v="DEBTORS SOLD TO RBI EUR"/>
    <n v="-3685886.75"/>
    <n v="-4830796.05"/>
    <n v="-5577738.7199999997"/>
    <n v="-4513127.32"/>
    <n v="-4344691.62"/>
    <m/>
    <m/>
    <m/>
    <m/>
    <m/>
    <m/>
    <m/>
    <x v="1"/>
    <x v="5"/>
    <s v="Receivables From Affiliated And Controled Companies For Issued Invoices"/>
  </r>
  <r>
    <s v="CC02010118"/>
    <s v="DUE FROM RBI GBP"/>
    <n v="0.03"/>
    <n v="1079566.3799999999"/>
    <n v="2540104.2599999998"/>
    <n v="0.12"/>
    <n v="1092176.8500000001"/>
    <m/>
    <m/>
    <m/>
    <m/>
    <m/>
    <m/>
    <m/>
    <x v="2"/>
    <x v="6"/>
    <m/>
  </r>
  <r>
    <s v="CC02010120"/>
    <s v="DUE FROM RBI EUR"/>
    <n v="0"/>
    <n v="41677.31"/>
    <n v="334425.51"/>
    <n v="0"/>
    <n v="291462.38"/>
    <m/>
    <m/>
    <m/>
    <m/>
    <m/>
    <m/>
    <m/>
    <x v="1"/>
    <x v="5"/>
    <s v="Receivables From Parent Company For Fundigs"/>
  </r>
  <r>
    <s v="CC02020102"/>
    <s v="RECEIVABLES FROM SUBSIDIARY COMPANIES FOR ISSUED INVOICES"/>
    <n v="10814512.02"/>
    <n v="11010736.15"/>
    <n v="11022602.369999999"/>
    <n v="11130671.9"/>
    <n v="11253292.52"/>
    <m/>
    <m/>
    <m/>
    <m/>
    <m/>
    <m/>
    <m/>
    <x v="1"/>
    <x v="7"/>
    <e v="#N/A"/>
  </r>
  <r>
    <s v="CC02030102"/>
    <s v="RECEIVABLES FROM AFFILIATED AND CONTROLED COMPANIES FOR ISSUED INVOICES"/>
    <n v="0"/>
    <n v="0"/>
    <n v="0"/>
    <n v="0"/>
    <n v="0"/>
    <m/>
    <m/>
    <m/>
    <m/>
    <m/>
    <m/>
    <m/>
    <x v="1"/>
    <x v="7"/>
    <s v="UK VAT (Receivable)"/>
  </r>
  <r>
    <s v="CC02040101"/>
    <s v="RECEIVABLES FROM PARENT COMPANIES"/>
    <n v="30992.83"/>
    <n v="31028.080000000002"/>
    <n v="34090.25"/>
    <n v="34375.21"/>
    <n v="35805.46"/>
    <m/>
    <m/>
    <m/>
    <m/>
    <m/>
    <m/>
    <m/>
    <x v="1"/>
    <x v="8"/>
    <n v="0"/>
  </r>
  <r>
    <s v="CC02040102"/>
    <s v="RECEIVABLES FROM PARENT COMPANY FOR FUNDIGS"/>
    <n v="0"/>
    <n v="0"/>
    <n v="0"/>
    <n v="0"/>
    <n v="0"/>
    <m/>
    <m/>
    <m/>
    <m/>
    <m/>
    <m/>
    <m/>
    <x v="1"/>
    <x v="6"/>
    <e v="#N/A"/>
  </r>
  <r>
    <s v="CC02040106"/>
    <s v="RECEIVABLES FROM PARENT COMPANIES FOR VAT GROUP"/>
    <n v="0"/>
    <n v="0"/>
    <n v="0"/>
    <n v="0"/>
    <n v="0"/>
    <m/>
    <m/>
    <m/>
    <m/>
    <m/>
    <m/>
    <m/>
    <x v="1"/>
    <x v="7"/>
    <s v="Italian VAT Receivable"/>
  </r>
  <r>
    <s v="CC02050103"/>
    <s v="A. FOR TRAVEL EXPENSES,DAILY ALLOW.ADV."/>
    <n v="0"/>
    <n v="0"/>
    <n v="0"/>
    <n v="0"/>
    <n v="0"/>
    <m/>
    <m/>
    <m/>
    <m/>
    <m/>
    <m/>
    <m/>
    <x v="1"/>
    <x v="7"/>
    <s v="Belgium VAT"/>
  </r>
  <r>
    <s v="CC02050202"/>
    <s v="VAT ON CREDIT"/>
    <n v="12394094.529999999"/>
    <n v="7619499.3300000001"/>
    <n v="2696136.07"/>
    <n v="2718531.28"/>
    <n v="1329215.72"/>
    <m/>
    <m/>
    <m/>
    <m/>
    <m/>
    <m/>
    <m/>
    <x v="1"/>
    <x v="9"/>
    <s v="DB GBP"/>
  </r>
  <r>
    <s v="CC02050213"/>
    <s v="DEFERRED TAX"/>
    <n v="0"/>
    <n v="0"/>
    <n v="0"/>
    <n v="0"/>
    <n v="0"/>
    <m/>
    <m/>
    <m/>
    <m/>
    <m/>
    <m/>
    <m/>
    <x v="1"/>
    <x v="9"/>
    <s v="DB EUR"/>
  </r>
  <r>
    <s v="CC02050304"/>
    <s v="OTHERS"/>
    <n v="0"/>
    <n v="0"/>
    <n v="0"/>
    <n v="0"/>
    <n v="0"/>
    <m/>
    <m/>
    <m/>
    <m/>
    <m/>
    <m/>
    <m/>
    <x v="1"/>
    <x v="9"/>
    <s v="DB GER"/>
  </r>
  <r>
    <s v="CC02050308"/>
    <s v="VAT DEBIT DE"/>
    <n v="0"/>
    <n v="0"/>
    <n v="0"/>
    <n v="0"/>
    <n v="0"/>
    <m/>
    <m/>
    <m/>
    <m/>
    <m/>
    <m/>
    <m/>
    <x v="1"/>
    <x v="9"/>
    <s v="DB USD"/>
  </r>
  <r>
    <s v="CC02050309"/>
    <s v="VAT DEBIT IT"/>
    <n v="2465487.67"/>
    <n v="2614196.98"/>
    <n v="2863674.55"/>
    <n v="2996712.77"/>
    <n v="3154955.29"/>
    <m/>
    <m/>
    <m/>
    <m/>
    <m/>
    <m/>
    <m/>
    <x v="1"/>
    <x v="9"/>
    <s v="MBM EUR"/>
  </r>
  <r>
    <s v="CC02050310"/>
    <s v="VAT DEBIT BE"/>
    <n v="0"/>
    <n v="0"/>
    <n v="0"/>
    <n v="0"/>
    <n v="0"/>
    <m/>
    <m/>
    <m/>
    <m/>
    <m/>
    <m/>
    <m/>
    <x v="1"/>
    <x v="9"/>
    <s v="BPL EUR"/>
  </r>
  <r>
    <s v="CC02050312"/>
    <s v="VAT DEBIT FR"/>
    <n v="0"/>
    <n v="0"/>
    <n v="0"/>
    <n v="0"/>
    <n v="0"/>
    <m/>
    <m/>
    <m/>
    <m/>
    <m/>
    <m/>
    <m/>
    <x v="1"/>
    <x v="9"/>
    <s v="BANCO POPOLARE - FALCONE"/>
  </r>
  <r>
    <s v="CC02050313"/>
    <s v="VAT DEBIT ES"/>
    <n v="5647.34"/>
    <n v="5647.34"/>
    <n v="5647.34"/>
    <n v="5647.34"/>
    <n v="5647.34"/>
    <m/>
    <m/>
    <m/>
    <m/>
    <m/>
    <m/>
    <m/>
    <x v="1"/>
    <x v="9"/>
    <s v="BANCO POPOLARE - EUROTRAVI"/>
  </r>
  <r>
    <s v="CC04010101"/>
    <s v="DB GBP"/>
    <n v="3524297.2"/>
    <n v="5595117.1500000004"/>
    <n v="7402803.1600000001"/>
    <n v="11356670.84"/>
    <n v="5512081.3499999996"/>
    <m/>
    <m/>
    <m/>
    <m/>
    <m/>
    <m/>
    <m/>
    <x v="1"/>
    <x v="9"/>
    <s v="BPL GBP"/>
  </r>
  <r>
    <s v="CC04010102"/>
    <s v="DB EUR"/>
    <n v="2366571.5299999998"/>
    <n v="3895942.13"/>
    <n v="4398135.59"/>
    <n v="4829656.1399999997"/>
    <n v="703656.93"/>
    <m/>
    <m/>
    <m/>
    <m/>
    <m/>
    <m/>
    <m/>
    <x v="1"/>
    <x v="9"/>
    <s v="MPS EUR"/>
  </r>
  <r>
    <s v="CC04010103"/>
    <s v="DB GER"/>
    <n v="55094.87"/>
    <n v="55031.34"/>
    <n v="54934.98"/>
    <n v="54899.75"/>
    <n v="54626.34"/>
    <m/>
    <m/>
    <m/>
    <m/>
    <m/>
    <m/>
    <m/>
    <x v="1"/>
    <x v="9"/>
    <s v="DB GBP CLEARING"/>
  </r>
  <r>
    <s v="CC04010104"/>
    <s v="DB USD"/>
    <n v="13898.82"/>
    <n v="13933.86"/>
    <n v="13918.34"/>
    <n v="14024.88"/>
    <n v="4091.83"/>
    <m/>
    <m/>
    <m/>
    <m/>
    <m/>
    <m/>
    <m/>
    <x v="1"/>
    <x v="9"/>
    <s v="DB EUR CLEARING"/>
  </r>
  <r>
    <s v="CC04010105"/>
    <s v="MBM EUR"/>
    <n v="0"/>
    <n v="0"/>
    <n v="0"/>
    <n v="0"/>
    <n v="0"/>
    <m/>
    <m/>
    <m/>
    <m/>
    <m/>
    <m/>
    <m/>
    <x v="1"/>
    <x v="9"/>
    <s v="DB GER CLEARING"/>
  </r>
  <r>
    <s v="CC04010106"/>
    <s v="BPL EUR"/>
    <n v="1539857.59"/>
    <n v="1539198.8"/>
    <n v="1537620"/>
    <n v="38484.550000000003"/>
    <n v="38043.980000000003"/>
    <m/>
    <m/>
    <m/>
    <m/>
    <m/>
    <m/>
    <m/>
    <x v="1"/>
    <x v="9"/>
    <s v="MBM EUR CLEARING"/>
  </r>
  <r>
    <s v="CC04010107"/>
    <s v="BANCO POPOLARE - FALCONE"/>
    <n v="0"/>
    <n v="0"/>
    <n v="0"/>
    <n v="0"/>
    <n v="0"/>
    <m/>
    <m/>
    <m/>
    <m/>
    <m/>
    <m/>
    <m/>
    <x v="1"/>
    <x v="9"/>
    <s v="BPL EUR CLEARING"/>
  </r>
  <r>
    <s v="CC04010108"/>
    <s v="BANCO POPOLARE - EUROTRAVI"/>
    <n v="0"/>
    <n v="0"/>
    <n v="0"/>
    <n v="0"/>
    <n v="0"/>
    <m/>
    <m/>
    <m/>
    <m/>
    <m/>
    <m/>
    <m/>
    <x v="1"/>
    <x v="9"/>
    <s v="BANCO POPOLARE - FALCONE CLEARING"/>
  </r>
  <r>
    <s v="CC04010109"/>
    <s v="BPL GBP"/>
    <n v="138.88"/>
    <n v="138.88"/>
    <n v="138.88"/>
    <n v="138.88"/>
    <n v="138.88"/>
    <m/>
    <m/>
    <m/>
    <m/>
    <m/>
    <m/>
    <m/>
    <x v="1"/>
    <x v="9"/>
    <s v="BANCO POPOLARE - EUROTRAVI CLEARING"/>
  </r>
  <r>
    <s v="CC04010110"/>
    <s v="MPS EUR"/>
    <n v="324244.77"/>
    <n v="324106.05"/>
    <n v="323773.59999999998"/>
    <n v="323801.28000000003"/>
    <n v="322423.17"/>
    <m/>
    <m/>
    <m/>
    <m/>
    <m/>
    <m/>
    <m/>
    <x v="1"/>
    <x v="9"/>
    <s v="MPS EUR CLEARING"/>
  </r>
  <r>
    <s v="CC04010111"/>
    <s v="DB GBP CLEARING"/>
    <n v="0"/>
    <n v="0"/>
    <n v="-2249.2600000000002"/>
    <n v="0"/>
    <n v="-882.79"/>
    <m/>
    <m/>
    <m/>
    <m/>
    <m/>
    <m/>
    <m/>
    <x v="1"/>
    <x v="9"/>
    <s v="BLME GBP"/>
  </r>
  <r>
    <s v="CC04010112"/>
    <s v="DB EUR CLEARING"/>
    <n v="0"/>
    <n v="0"/>
    <n v="0"/>
    <n v="0"/>
    <n v="0"/>
    <m/>
    <m/>
    <m/>
    <m/>
    <m/>
    <m/>
    <m/>
    <x v="1"/>
    <x v="9"/>
    <s v="BLME EUR"/>
  </r>
  <r>
    <s v="CC04010113"/>
    <s v="DB GER CLEARING"/>
    <n v="0"/>
    <n v="0"/>
    <n v="0"/>
    <n v="0"/>
    <n v="0"/>
    <m/>
    <m/>
    <m/>
    <m/>
    <m/>
    <m/>
    <m/>
    <x v="1"/>
    <x v="9"/>
    <s v="RBI GBP"/>
  </r>
  <r>
    <s v="CC04010114"/>
    <s v="DB USD CLEARING"/>
    <n v="0"/>
    <n v="0"/>
    <n v="0"/>
    <n v="0"/>
    <n v="0"/>
    <m/>
    <m/>
    <m/>
    <m/>
    <m/>
    <m/>
    <m/>
    <x v="1"/>
    <x v="9"/>
    <s v="RBI EUR"/>
  </r>
  <r>
    <s v="CC04010115"/>
    <s v="MBM EUR CLEARING"/>
    <n v="0"/>
    <n v="0"/>
    <n v="0"/>
    <n v="0"/>
    <n v="0"/>
    <m/>
    <m/>
    <m/>
    <m/>
    <m/>
    <m/>
    <m/>
    <x v="1"/>
    <x v="9"/>
    <s v="BLME GBP CLEARING"/>
  </r>
  <r>
    <s v="CC04010116"/>
    <s v="BPL EUR CLEARING"/>
    <n v="-0.02"/>
    <n v="-0.02"/>
    <n v="-0.02"/>
    <n v="-0.02"/>
    <n v="-0.02"/>
    <m/>
    <m/>
    <m/>
    <m/>
    <m/>
    <m/>
    <m/>
    <x v="1"/>
    <x v="9"/>
    <s v="BLME EUR CLEARING"/>
  </r>
  <r>
    <s v="CC04010117"/>
    <s v="BANCO POPOLARE - FALCONE CLEARING"/>
    <n v="0"/>
    <n v="0"/>
    <n v="0"/>
    <n v="0"/>
    <n v="0"/>
    <m/>
    <m/>
    <m/>
    <m/>
    <m/>
    <m/>
    <m/>
    <x v="1"/>
    <x v="9"/>
    <s v="BLME USD CLEARING"/>
  </r>
  <r>
    <s v="CC04010118"/>
    <s v="BANCO POPOLARE - EUROTRAVI CLEARING"/>
    <n v="0"/>
    <n v="0"/>
    <n v="0"/>
    <n v="0"/>
    <n v="0"/>
    <m/>
    <m/>
    <m/>
    <m/>
    <m/>
    <m/>
    <m/>
    <x v="1"/>
    <x v="9"/>
    <e v="#N/A"/>
  </r>
  <r>
    <s v="CC04010120"/>
    <s v="MPS EUR CLEARING"/>
    <n v="0"/>
    <n v="0"/>
    <n v="0"/>
    <n v="0"/>
    <n v="0"/>
    <m/>
    <m/>
    <m/>
    <m/>
    <m/>
    <m/>
    <m/>
    <x v="1"/>
    <x v="9"/>
    <s v="RBI EUR CLEARING"/>
  </r>
  <r>
    <s v="CC04010121"/>
    <s v="BLME GBP"/>
    <n v="0"/>
    <n v="0"/>
    <n v="0"/>
    <n v="0"/>
    <n v="0"/>
    <m/>
    <m/>
    <m/>
    <m/>
    <m/>
    <m/>
    <m/>
    <x v="1"/>
    <x v="9"/>
    <s v="MONEY AND CASH HEADQUARTER"/>
  </r>
  <r>
    <s v="CC04010122"/>
    <s v="BLME EUR"/>
    <n v="0"/>
    <n v="0"/>
    <n v="0"/>
    <n v="0"/>
    <n v="0"/>
    <m/>
    <m/>
    <m/>
    <m/>
    <m/>
    <m/>
    <m/>
    <x v="1"/>
    <x v="7"/>
    <s v="Spain VAT"/>
  </r>
  <r>
    <s v="CC04010124"/>
    <s v="RBI GBP"/>
    <n v="13518662.4"/>
    <n v="18123945.489999998"/>
    <n v="22555573.870000001"/>
    <n v="6056486.4900000002"/>
    <n v="13463965.449999999"/>
    <m/>
    <m/>
    <m/>
    <m/>
    <m/>
    <m/>
    <m/>
    <x v="1"/>
    <x v="3"/>
    <s v="ACCRUED INCOME &lt; 12 MONTHS"/>
  </r>
  <r>
    <s v="CC04010125"/>
    <s v="RBI EUR"/>
    <n v="6738360.9500000002"/>
    <n v="9584060.6899999995"/>
    <n v="4969860.1500000004"/>
    <n v="3757277.4"/>
    <n v="10424221.34"/>
    <m/>
    <m/>
    <m/>
    <m/>
    <m/>
    <m/>
    <m/>
    <x v="1"/>
    <x v="3"/>
    <s v="OTHER PREPAID EXPENSES &lt; 12 MONTHS"/>
  </r>
  <r>
    <s v="CC04010131"/>
    <s v="BLME GBP CLEARING"/>
    <n v="0"/>
    <n v="0"/>
    <n v="0"/>
    <n v="0"/>
    <n v="0"/>
    <m/>
    <m/>
    <m/>
    <m/>
    <m/>
    <m/>
    <m/>
    <x v="1"/>
    <x v="3"/>
    <s v="OTHER PREPAID EXPENSES &gt; 12 MONTHS"/>
  </r>
  <r>
    <s v="CC04010132"/>
    <s v="BLME EUR CLEARING"/>
    <n v="0"/>
    <n v="0"/>
    <n v="0"/>
    <n v="0"/>
    <n v="0"/>
    <m/>
    <m/>
    <m/>
    <m/>
    <m/>
    <m/>
    <m/>
    <x v="1"/>
    <x v="7"/>
    <s v="UK VAT (Payable)"/>
  </r>
  <r>
    <s v="CC04010133"/>
    <s v="BLME USD CLEARING"/>
    <n v="0"/>
    <n v="0"/>
    <n v="0"/>
    <n v="0"/>
    <n v="0"/>
    <m/>
    <m/>
    <m/>
    <m/>
    <m/>
    <m/>
    <m/>
    <x v="3"/>
    <x v="8"/>
    <s v="Corporation Tax"/>
  </r>
  <r>
    <s v="CC04010134"/>
    <s v="RBI GBP CLEARING"/>
    <n v="0"/>
    <n v="0"/>
    <n v="0"/>
    <n v="0"/>
    <n v="0"/>
    <m/>
    <m/>
    <m/>
    <m/>
    <m/>
    <m/>
    <m/>
    <x v="3"/>
    <x v="8"/>
    <s v="Deferred Tax"/>
  </r>
  <r>
    <s v="CC04010135"/>
    <s v="RBI EUR CLEARING"/>
    <n v="0"/>
    <n v="0"/>
    <n v="0"/>
    <n v="0"/>
    <n v="0"/>
    <m/>
    <m/>
    <m/>
    <m/>
    <m/>
    <m/>
    <m/>
    <x v="3"/>
    <x v="7"/>
    <e v="#N/A"/>
  </r>
  <r>
    <s v="CC04030101"/>
    <s v="MONEY AND CASH HEADQUARTER"/>
    <n v="220.47"/>
    <n v="824.33"/>
    <n v="792.59"/>
    <n v="612.54"/>
    <n v="466.09"/>
    <m/>
    <m/>
    <m/>
    <m/>
    <m/>
    <m/>
    <m/>
    <x v="2"/>
    <x v="6"/>
    <m/>
  </r>
  <r>
    <s v="DD01010101"/>
    <s v="ACCRUED INCOME &lt; 12 MONTHS"/>
    <n v="0"/>
    <n v="0"/>
    <n v="0"/>
    <n v="0"/>
    <n v="0"/>
    <m/>
    <m/>
    <m/>
    <m/>
    <m/>
    <m/>
    <m/>
    <x v="3"/>
    <x v="8"/>
    <s v="VAT CREDIT IT"/>
  </r>
  <r>
    <s v="DD02010102"/>
    <s v="OTHER PREPAID EXPENSES &lt; 12 MONTHS"/>
    <n v="516063.02"/>
    <n v="655610.93000000005"/>
    <n v="696795.71"/>
    <n v="672566.98"/>
    <n v="728276.39"/>
    <m/>
    <m/>
    <m/>
    <m/>
    <m/>
    <m/>
    <m/>
    <x v="3"/>
    <x v="8"/>
    <s v="VAT CREDIT BE"/>
  </r>
  <r>
    <s v="DD02010103"/>
    <s v="OTHER PREPAID EXPENSES &gt; 12 MONTHS"/>
    <n v="4982.83"/>
    <n v="6277.86"/>
    <n v="8730.41"/>
    <n v="13230.41"/>
    <n v="7825.12"/>
    <m/>
    <m/>
    <m/>
    <m/>
    <m/>
    <m/>
    <m/>
    <x v="3"/>
    <x v="8"/>
    <s v="VAT CREDIT NL"/>
  </r>
  <r>
    <s v="EE01010101"/>
    <s v="PERIOD PROFIT"/>
    <n v="-79164962.219999999"/>
    <n v="-79164962.219999999"/>
    <n v="-79164962.219999999"/>
    <n v="-79164962.219999999"/>
    <n v="-79164962.219999999"/>
    <m/>
    <m/>
    <m/>
    <m/>
    <m/>
    <m/>
    <m/>
    <x v="3"/>
    <x v="8"/>
    <s v="VAT CREDIT FR"/>
  </r>
  <r>
    <s v="EE01010102"/>
    <s v="PREPAID DIVIDEND"/>
    <m/>
    <m/>
    <m/>
    <n v="20000000"/>
    <n v="20000000"/>
    <m/>
    <m/>
    <m/>
    <m/>
    <m/>
    <m/>
    <m/>
    <x v="2"/>
    <x v="6"/>
    <m/>
  </r>
  <r>
    <s v="EE01010103"/>
    <s v="PERIOD LOSS"/>
    <n v="22190317.75"/>
    <n v="22190317.75"/>
    <n v="22190317.75"/>
    <n v="22190317.75"/>
    <n v="22190317.75"/>
    <m/>
    <m/>
    <m/>
    <m/>
    <m/>
    <m/>
    <m/>
    <x v="3"/>
    <x v="8"/>
    <s v="VAT CREDIT DE"/>
  </r>
  <r>
    <s v="EE01010104"/>
    <s v="OPERATING LOSS BALANCED DURING THE YEAR"/>
    <n v="0"/>
    <n v="0"/>
    <n v="0"/>
    <n v="0"/>
    <n v="0"/>
    <m/>
    <m/>
    <m/>
    <m/>
    <m/>
    <m/>
    <m/>
    <x v="3"/>
    <x v="8"/>
    <s v="PAYE / NI"/>
  </r>
  <r>
    <s v="EE02010101"/>
    <s v="ORDINARY SHARES"/>
    <n v="-2500000"/>
    <n v="-2500000"/>
    <n v="-2500000"/>
    <n v="-2500000"/>
    <n v="-2500000"/>
    <m/>
    <m/>
    <m/>
    <m/>
    <m/>
    <m/>
    <m/>
    <x v="3"/>
    <x v="8"/>
    <s v="Staff Salaries"/>
  </r>
  <r>
    <s v="FF01010101"/>
    <s v="PROVISIONS FOR RISKS FOR RETIREMENT"/>
    <n v="-367.06"/>
    <n v="-241.93"/>
    <n v="-40342.730000000003"/>
    <n v="48169.63"/>
    <n v="48169.63"/>
    <m/>
    <m/>
    <m/>
    <m/>
    <m/>
    <m/>
    <m/>
    <x v="3"/>
    <x v="10"/>
    <s v="OTHER DEBTS FROM CUSTOMERS"/>
  </r>
  <r>
    <s v="HH02010102"/>
    <s v="OUTPUT VAT"/>
    <n v="-13888572.390000001"/>
    <n v="-10203860.24"/>
    <n v="-5847713.5899999999"/>
    <n v="-5416024.9400000004"/>
    <n v="-3189021.61"/>
    <m/>
    <m/>
    <m/>
    <m/>
    <m/>
    <m/>
    <m/>
    <x v="3"/>
    <x v="6"/>
    <s v="BLME Loan"/>
  </r>
  <r>
    <s v="HH02010105"/>
    <s v="CORPORATION TAX"/>
    <n v="1535054"/>
    <n v="1535054"/>
    <n v="1535054"/>
    <n v="1535054"/>
    <n v="1535054"/>
    <m/>
    <m/>
    <m/>
    <m/>
    <m/>
    <m/>
    <m/>
    <x v="3"/>
    <x v="11"/>
    <s v="RBI GBP"/>
  </r>
  <r>
    <s v="HH02010109"/>
    <s v="DEFERRED TAX RE LOSSES"/>
    <n v="-1476379"/>
    <n v="-1476379"/>
    <n v="-1476379"/>
    <n v="-1476379"/>
    <n v="-1476379"/>
    <m/>
    <m/>
    <m/>
    <m/>
    <m/>
    <m/>
    <m/>
    <x v="3"/>
    <x v="11"/>
    <s v="RBI EUR"/>
  </r>
  <r>
    <s v="HH02010114"/>
    <s v="OUTPUT VAT ON EU PURCHASE"/>
    <n v="0"/>
    <n v="0"/>
    <n v="0"/>
    <n v="0"/>
    <n v="0"/>
    <m/>
    <m/>
    <m/>
    <m/>
    <m/>
    <m/>
    <m/>
    <x v="3"/>
    <x v="11"/>
    <s v="Lease Liability IFRS16"/>
  </r>
  <r>
    <s v="HH02010115"/>
    <s v="OUTPUT VAT PERIOD"/>
    <n v="0"/>
    <n v="0"/>
    <n v="0"/>
    <n v="0"/>
    <n v="0"/>
    <m/>
    <m/>
    <m/>
    <m/>
    <m/>
    <m/>
    <m/>
    <x v="3"/>
    <x v="10"/>
    <s v="CASH ADVANCES FROM CUSTOMERS"/>
  </r>
  <r>
    <s v="HH02010116"/>
    <s v="VAT ADVANCE TO CUSTOM AUTHORITIES"/>
    <n v="191469.12"/>
    <n v="0"/>
    <n v="0"/>
    <n v="0"/>
    <n v="0"/>
    <m/>
    <m/>
    <m/>
    <m/>
    <m/>
    <m/>
    <m/>
    <x v="3"/>
    <x v="6"/>
    <s v=""/>
  </r>
  <r>
    <s v="HH02010117"/>
    <s v="VAT CREDIT DE"/>
    <n v="-3674.6"/>
    <n v="-3674.6"/>
    <n v="-3674.6"/>
    <n v="-3674.6"/>
    <n v="-3674.6"/>
    <m/>
    <m/>
    <m/>
    <m/>
    <m/>
    <m/>
    <m/>
    <x v="3"/>
    <x v="6"/>
    <s v=""/>
  </r>
  <r>
    <s v="HH02010118"/>
    <s v="VAT CREDIT IT"/>
    <n v="0"/>
    <n v="0"/>
    <n v="0"/>
    <n v="0"/>
    <n v="0"/>
    <m/>
    <m/>
    <m/>
    <m/>
    <m/>
    <m/>
    <m/>
    <x v="2"/>
    <x v="6"/>
    <m/>
  </r>
  <r>
    <s v="HH02010119"/>
    <s v="VAT CREDIT BE"/>
    <n v="-68931.91"/>
    <n v="-74976.179999999993"/>
    <n v="-86616.59"/>
    <n v="-86616.59"/>
    <n v="-86616.59"/>
    <m/>
    <m/>
    <m/>
    <m/>
    <m/>
    <m/>
    <m/>
    <x v="2"/>
    <x v="6"/>
    <m/>
  </r>
  <r>
    <s v="HH02010120"/>
    <s v="VAT CREDIT NL"/>
    <n v="-57120.160000000003"/>
    <n v="-3578.99"/>
    <n v="-3578.99"/>
    <n v="-19773.900000000001"/>
    <n v="-15684.12"/>
    <m/>
    <m/>
    <m/>
    <m/>
    <m/>
    <m/>
    <m/>
    <x v="2"/>
    <x v="6"/>
    <m/>
  </r>
  <r>
    <s v="HH02010121"/>
    <s v="VAT CREDIT FR"/>
    <n v="-7483.16"/>
    <n v="-20261.23"/>
    <n v="0"/>
    <n v="-14012.68"/>
    <n v="-5773.11"/>
    <m/>
    <m/>
    <m/>
    <m/>
    <m/>
    <m/>
    <m/>
    <x v="2"/>
    <x v="6"/>
    <m/>
  </r>
  <r>
    <s v="HH03010101"/>
    <s v="NATIONAL INSURANCE"/>
    <n v="-142401.51999999999"/>
    <n v="-154027"/>
    <n v="-172517.68"/>
    <n v="-242234.07"/>
    <n v="-157341.81"/>
    <m/>
    <m/>
    <m/>
    <m/>
    <m/>
    <m/>
    <m/>
    <x v="2"/>
    <x v="6"/>
    <m/>
  </r>
  <r>
    <s v="HH03010105"/>
    <s v="OTHERS"/>
    <m/>
    <m/>
    <m/>
    <n v="-2494.4899999999998"/>
    <n v="-1554.82"/>
    <m/>
    <m/>
    <m/>
    <m/>
    <m/>
    <m/>
    <m/>
    <x v="2"/>
    <x v="6"/>
    <m/>
  </r>
  <r>
    <s v="HH03010110"/>
    <s v="PRIVATE PENSION PROVISION"/>
    <m/>
    <m/>
    <m/>
    <n v="-48411.56"/>
    <n v="-85086.95"/>
    <m/>
    <m/>
    <m/>
    <m/>
    <m/>
    <m/>
    <m/>
    <x v="2"/>
    <x v="6"/>
    <m/>
  </r>
  <r>
    <s v="HH03010117"/>
    <s v="HEALTH CARE PROVISION"/>
    <n v="0"/>
    <n v="0"/>
    <n v="0"/>
    <n v="0"/>
    <n v="0"/>
    <m/>
    <m/>
    <m/>
    <m/>
    <m/>
    <m/>
    <m/>
    <x v="2"/>
    <x v="6"/>
    <m/>
  </r>
  <r>
    <s v="HH04010101"/>
    <s v="STAFF SALARIES"/>
    <n v="0"/>
    <n v="-467.55"/>
    <n v="-970.87"/>
    <n v="-147.34"/>
    <n v="-528.07000000000005"/>
    <m/>
    <m/>
    <m/>
    <m/>
    <m/>
    <m/>
    <m/>
    <x v="2"/>
    <x v="6"/>
    <m/>
  </r>
  <r>
    <s v="HH04030102"/>
    <s v="OTHER DEBTS FROM CUSTOMERS"/>
    <n v="-913061.98"/>
    <n v="-988038.82"/>
    <n v="-1004941.29"/>
    <n v="-1155397.67"/>
    <n v="-1150979.1599999999"/>
    <m/>
    <m/>
    <m/>
    <m/>
    <m/>
    <m/>
    <m/>
    <x v="3"/>
    <x v="10"/>
    <s v="DEBTS FROM SUPPLIERS FOR INVOICES TO PAY"/>
  </r>
  <r>
    <s v="HH07010201"/>
    <s v="DEBTS FROM BANKS FOR LOANS &lt; 12 MONTHS"/>
    <n v="0"/>
    <n v="0"/>
    <n v="0"/>
    <n v="0"/>
    <n v="0"/>
    <m/>
    <m/>
    <m/>
    <m/>
    <m/>
    <m/>
    <m/>
    <x v="3"/>
    <x v="10"/>
    <s v="DEBTS FROM SUPPLIERS FOR  INVOICES TO BE RECEIVED"/>
  </r>
  <r>
    <s v="HH08010106"/>
    <s v="OLD RBI GBP ACCOUNT"/>
    <n v="0"/>
    <n v="0"/>
    <n v="0"/>
    <n v="0"/>
    <n v="0"/>
    <m/>
    <m/>
    <m/>
    <m/>
    <m/>
    <m/>
    <m/>
    <x v="3"/>
    <x v="10"/>
    <s v="DEBTS FROM SUPPLIERS - DOMESTIC PAYMENT"/>
  </r>
  <r>
    <s v="HH08010107"/>
    <s v="OLD RBI EUR ACCOUNT"/>
    <n v="0"/>
    <n v="0"/>
    <n v="0"/>
    <n v="0"/>
    <n v="0"/>
    <m/>
    <m/>
    <m/>
    <m/>
    <m/>
    <m/>
    <m/>
    <x v="3"/>
    <x v="10"/>
    <s v="DEBTS FROM SUPPLIERS - EU PAYMENT"/>
  </r>
  <r>
    <s v="HH08010108"/>
    <s v="FINANCIAL DEBT FOR LEASING - IFRS16"/>
    <n v="-420904.45"/>
    <n v="-410950.74"/>
    <n v="-386150.52"/>
    <n v="-375050.79"/>
    <n v="-379133.63"/>
    <m/>
    <m/>
    <m/>
    <m/>
    <m/>
    <m/>
    <m/>
    <x v="3"/>
    <x v="10"/>
    <e v="#N/A"/>
  </r>
  <r>
    <s v="HH08010109"/>
    <s v="DUE TO RBI GBP"/>
    <n v="-2061645.06"/>
    <n v="-2363681.85"/>
    <n v="-3539143.88"/>
    <n v="-4165692.5"/>
    <n v="-3568470.9"/>
    <m/>
    <m/>
    <m/>
    <m/>
    <m/>
    <m/>
    <m/>
    <x v="3"/>
    <x v="10"/>
    <s v="DEBTS FROM SUPPLIERS - INTERCOMPANY PAYMENT"/>
  </r>
  <r>
    <s v="HH08010110"/>
    <s v="DUE TO RBI EUR"/>
    <n v="-982415.9"/>
    <n v="-968881.56"/>
    <n v="-572554.35"/>
    <n v="-891251.64"/>
    <n v="-766987.69"/>
    <m/>
    <m/>
    <m/>
    <m/>
    <m/>
    <m/>
    <m/>
    <x v="3"/>
    <x v="10"/>
    <e v="#N/A"/>
  </r>
  <r>
    <s v="HH09010101"/>
    <s v="CASH ADVANCES FROM CUSTOMERS"/>
    <n v="-250000"/>
    <n v="-250000"/>
    <n v="-250000"/>
    <n v="-250000"/>
    <n v="-250000"/>
    <m/>
    <m/>
    <m/>
    <m/>
    <m/>
    <m/>
    <m/>
    <x v="3"/>
    <x v="10"/>
    <e v="#N/A"/>
  </r>
  <r>
    <s v="HH09010105"/>
    <s v="ADVANCES NOT INVOICED"/>
    <n v="0"/>
    <n v="0"/>
    <n v="0"/>
    <n v="0"/>
    <n v="0"/>
    <m/>
    <m/>
    <m/>
    <m/>
    <m/>
    <m/>
    <m/>
    <x v="3"/>
    <x v="12"/>
    <s v="ACCRUED EXPENSES &lt; 12 MONTHS"/>
  </r>
  <r>
    <s v="HH09010106"/>
    <s v="ADVANCES INVOICED"/>
    <n v="0"/>
    <n v="0"/>
    <n v="0"/>
    <n v="0"/>
    <n v="0"/>
    <m/>
    <m/>
    <m/>
    <m/>
    <m/>
    <m/>
    <m/>
    <x v="3"/>
    <x v="12"/>
    <s v="OTHER DEFERRED LIABILITIES &lt; 12 MONTHS"/>
  </r>
  <r>
    <s v="HH10010101"/>
    <s v="DEBTS FROM SUPPLIERS FOR INVOICES TO PAY"/>
    <n v="-49792154.649999999"/>
    <n v="-63264978.619999997"/>
    <n v="-58902773.43"/>
    <n v="-54026970.079999998"/>
    <n v="-67264403.290000007"/>
    <m/>
    <m/>
    <m/>
    <m/>
    <m/>
    <m/>
    <m/>
    <x v="4"/>
    <x v="13"/>
    <s v="Period Profit"/>
  </r>
  <r>
    <s v="HH10010103"/>
    <s v="DEBTS FROM SUPPLIERS FOR  INVOICES TO BE RECEIVED"/>
    <n v="-1000581.72"/>
    <n v="-449938.18"/>
    <n v="-1845343.75"/>
    <n v="-11127591.119999999"/>
    <n v="-1947053.72"/>
    <m/>
    <m/>
    <m/>
    <m/>
    <m/>
    <m/>
    <m/>
    <x v="4"/>
    <x v="13"/>
    <s v="Period Loss"/>
  </r>
  <r>
    <s v="HH10010104"/>
    <s v="DEBTS FROM SUPPLIERS - DOMESTIC PAYMENT"/>
    <n v="0"/>
    <n v="0"/>
    <n v="0"/>
    <n v="0"/>
    <n v="0"/>
    <m/>
    <m/>
    <m/>
    <m/>
    <m/>
    <m/>
    <m/>
    <x v="4"/>
    <x v="6"/>
    <m/>
  </r>
  <r>
    <s v="HH10010105"/>
    <s v="DEBTS FROM SUPPLIERS - EU PAYMENT"/>
    <n v="0"/>
    <n v="0"/>
    <n v="0"/>
    <n v="0"/>
    <n v="0"/>
    <m/>
    <m/>
    <m/>
    <m/>
    <m/>
    <m/>
    <m/>
    <x v="4"/>
    <x v="14"/>
    <s v="Ordinary Shares"/>
  </r>
  <r>
    <s v="HH10010106"/>
    <s v="DEBTS FROM SUPPLIERS - NO EU PAYMENT"/>
    <n v="0"/>
    <n v="0"/>
    <n v="0"/>
    <n v="0"/>
    <n v="0"/>
    <m/>
    <m/>
    <m/>
    <m/>
    <m/>
    <m/>
    <m/>
    <x v="4"/>
    <x v="6"/>
    <s v="Pension Contributions"/>
  </r>
  <r>
    <s v="HH10010107"/>
    <s v="DEBTS FROM SUPPLIERS - INTERCOMPANY PAYMENT"/>
    <n v="0"/>
    <n v="0"/>
    <n v="0"/>
    <n v="0"/>
    <n v="0"/>
    <m/>
    <m/>
    <m/>
    <m/>
    <m/>
    <m/>
    <m/>
    <x v="4"/>
    <x v="6"/>
    <m/>
  </r>
  <r>
    <s v="HH10010108"/>
    <s v="DEBTS FROM SUPPLIERS - HANDLING PAYMENT"/>
    <n v="0"/>
    <n v="2563.0500000000002"/>
    <n v="0"/>
    <n v="0"/>
    <n v="0"/>
    <m/>
    <m/>
    <m/>
    <m/>
    <m/>
    <m/>
    <m/>
    <x v="4"/>
    <x v="6"/>
    <m/>
  </r>
  <r>
    <s v="HH10010109"/>
    <s v="DEBTS FROM SUPPLIERS - TAXES PAYMENT"/>
    <n v="0"/>
    <n v="0"/>
    <n v="0"/>
    <n v="0"/>
    <n v="0"/>
    <m/>
    <m/>
    <m/>
    <m/>
    <m/>
    <m/>
    <m/>
    <x v="4"/>
    <x v="15"/>
    <m/>
  </r>
  <r>
    <s v="II01010101"/>
    <s v="ACCRUED EXPENSES &lt; 12 MONTHS"/>
    <n v="-2068188.5"/>
    <n v="-1930075.44"/>
    <n v="-2007742.9"/>
    <n v="-1721413.08"/>
    <n v="-1775057.22"/>
    <m/>
    <m/>
    <m/>
    <m/>
    <m/>
    <m/>
    <m/>
    <x v="4"/>
    <x v="15"/>
    <m/>
  </r>
  <r>
    <s v="II01010102"/>
    <s v="ACCRUED EXPENSES &gt; 12 MONTHS"/>
    <n v="0"/>
    <n v="239886.07999999999"/>
    <n v="0"/>
    <n v="0"/>
    <n v="0"/>
    <m/>
    <m/>
    <m/>
    <m/>
    <m/>
    <m/>
    <m/>
    <x v="4"/>
    <x v="15"/>
    <m/>
  </r>
  <r>
    <s v="II02010102"/>
    <s v="OTHER DEFERRED LIABILITIES &lt; 12 MONTHS"/>
    <n v="0"/>
    <n v="0"/>
    <n v="0"/>
    <n v="0"/>
    <n v="0"/>
    <m/>
    <m/>
    <m/>
    <m/>
    <m/>
    <m/>
    <m/>
    <x v="4"/>
    <x v="15"/>
    <m/>
  </r>
  <r>
    <s v="MM01010101"/>
    <s v="SALES MATERIALS OWN PRODUCTION"/>
    <n v="-10828084.15"/>
    <n v="-22428276.710000001"/>
    <n v="-32738047.149999999"/>
    <n v="-42441950.420000002"/>
    <n v="-52029588.5"/>
    <m/>
    <m/>
    <m/>
    <m/>
    <m/>
    <m/>
    <m/>
    <x v="4"/>
    <x v="15"/>
    <m/>
  </r>
  <r>
    <s v="MM01010102"/>
    <s v="RETURN ON  SALES MATERIALS OWN PRODUCTION"/>
    <n v="62916.94"/>
    <n v="116166.64"/>
    <n v="134231.97"/>
    <n v="192871.24"/>
    <n v="211972.9"/>
    <m/>
    <m/>
    <m/>
    <m/>
    <m/>
    <m/>
    <m/>
    <x v="4"/>
    <x v="15"/>
    <m/>
  </r>
  <r>
    <s v="MM01010103"/>
    <s v="DISCOUNT ON SALES MATERIALS OWN PRODUCTION"/>
    <m/>
    <m/>
    <m/>
    <n v="17.100000000000001"/>
    <n v="17.100000000000001"/>
    <m/>
    <m/>
    <m/>
    <m/>
    <m/>
    <m/>
    <m/>
    <x v="2"/>
    <x v="6"/>
    <m/>
  </r>
  <r>
    <s v="MM01010104"/>
    <s v="PROVISION CLAIMS MATERIALS OWN PRODUCTION"/>
    <n v="0"/>
    <n v="0"/>
    <n v="0"/>
    <n v="0"/>
    <n v="0"/>
    <m/>
    <m/>
    <m/>
    <m/>
    <m/>
    <m/>
    <m/>
    <x v="4"/>
    <x v="15"/>
    <m/>
  </r>
  <r>
    <s v="MM01010106"/>
    <s v="REBATE ON SALES MATERIALS OWN PRODUCTION"/>
    <n v="10000"/>
    <n v="21569.66"/>
    <n v="31569.66"/>
    <n v="41569.660000000003"/>
    <n v="51569.66"/>
    <m/>
    <m/>
    <m/>
    <m/>
    <m/>
    <m/>
    <m/>
    <x v="4"/>
    <x v="15"/>
    <m/>
  </r>
  <r>
    <s v="MM01010108"/>
    <s v="RECHARGE OUTGOING FREIGHT COST MATERIAL OWN PRODUCTION (freight)"/>
    <n v="0"/>
    <n v="0"/>
    <n v="0"/>
    <n v="0"/>
    <n v="0"/>
    <m/>
    <m/>
    <m/>
    <m/>
    <m/>
    <m/>
    <m/>
    <x v="4"/>
    <x v="15"/>
    <m/>
  </r>
  <r>
    <s v="MM01010109"/>
    <s v="RECHARGE OUTGOING FREIGHT COST MATERIAL OWN PRODUCTION (others)"/>
    <n v="-437506.87"/>
    <n v="-827694.73"/>
    <n v="-1183412.4099999999"/>
    <n v="-1499822.61"/>
    <n v="-1845085.04"/>
    <m/>
    <m/>
    <m/>
    <m/>
    <m/>
    <m/>
    <m/>
    <x v="4"/>
    <x v="15"/>
    <m/>
  </r>
  <r>
    <s v="MM01010110"/>
    <s v="RECHARGE COMMISSIONS ON SALES MATERIAL OWN PRODUCTION"/>
    <n v="-29641.26"/>
    <n v="-59030.28"/>
    <n v="-80582.69"/>
    <n v="-106682.03"/>
    <n v="-130846.96"/>
    <m/>
    <m/>
    <m/>
    <m/>
    <m/>
    <m/>
    <m/>
    <x v="4"/>
    <x v="15"/>
    <m/>
  </r>
  <r>
    <s v="MM02010101"/>
    <s v="SALES TRADING PRODUCTS"/>
    <n v="-1770184.41"/>
    <n v="-4098750.37"/>
    <n v="-5695042.2800000003"/>
    <n v="-7284682.4500000002"/>
    <n v="-9451543.2400000002"/>
    <m/>
    <m/>
    <m/>
    <m/>
    <m/>
    <m/>
    <m/>
    <x v="4"/>
    <x v="15"/>
    <m/>
  </r>
  <r>
    <s v="MM02010102"/>
    <s v="RETURN ON SALES TRADING PRODUCTS"/>
    <n v="19194.57"/>
    <n v="24214.3"/>
    <n v="24214.3"/>
    <n v="34995.599999999999"/>
    <n v="51211.53"/>
    <m/>
    <m/>
    <m/>
    <m/>
    <m/>
    <m/>
    <m/>
    <x v="4"/>
    <x v="15"/>
    <m/>
  </r>
  <r>
    <s v="MM02010104"/>
    <s v="PROVISION CLAIMS TRADING PRODUCT"/>
    <n v="0"/>
    <n v="0"/>
    <n v="0"/>
    <n v="0"/>
    <n v="0"/>
    <m/>
    <m/>
    <m/>
    <m/>
    <m/>
    <m/>
    <m/>
    <x v="4"/>
    <x v="15"/>
    <m/>
  </r>
  <r>
    <s v="MM02010106"/>
    <s v="REBATE ON SALES TRADING PRODUCTS"/>
    <n v="0"/>
    <n v="0"/>
    <n v="0"/>
    <n v="0"/>
    <n v="0"/>
    <m/>
    <m/>
    <m/>
    <m/>
    <m/>
    <m/>
    <m/>
    <x v="4"/>
    <x v="15"/>
    <m/>
  </r>
  <r>
    <s v="MM02010107"/>
    <s v="RECHARGE OUTGOING FREIGHT COST TRADING PRODUCTS (railway charges)"/>
    <n v="-19851.62"/>
    <n v="-29004.27"/>
    <n v="-43990.01"/>
    <n v="-44495.61"/>
    <n v="-54629.74"/>
    <m/>
    <m/>
    <m/>
    <m/>
    <m/>
    <m/>
    <m/>
    <x v="4"/>
    <x v="15"/>
    <m/>
  </r>
  <r>
    <s v="MM02010108"/>
    <s v="RECHARGE OUTGOING FREIGHT COST TRADING PRODUCTS (freight)"/>
    <n v="-53593.46"/>
    <n v="-130419.16"/>
    <n v="-180509.13"/>
    <n v="-217326.77"/>
    <n v="-279549.63"/>
    <m/>
    <m/>
    <m/>
    <m/>
    <m/>
    <m/>
    <m/>
    <x v="2"/>
    <x v="6"/>
    <m/>
  </r>
  <r>
    <s v="MM02010109"/>
    <s v="RECHARGE OUTGOING FREIGHT COST TRADING PRODUCTS (others)"/>
    <n v="-6205.71"/>
    <n v="-7451.04"/>
    <n v="-11309.41"/>
    <n v="-12420.7"/>
    <n v="-14859.2"/>
    <m/>
    <m/>
    <m/>
    <m/>
    <m/>
    <m/>
    <m/>
    <x v="4"/>
    <x v="15"/>
    <m/>
  </r>
  <r>
    <s v="MM03010101"/>
    <s v="SCRAP SALES"/>
    <n v="-355224"/>
    <n v="-809143.5"/>
    <n v="-1228120.8999999999"/>
    <n v="-1638701.8"/>
    <n v="-1928796.4"/>
    <m/>
    <m/>
    <m/>
    <m/>
    <m/>
    <m/>
    <m/>
    <x v="4"/>
    <x v="15"/>
    <m/>
  </r>
  <r>
    <s v="MM03010102"/>
    <s v="SCALE SALES"/>
    <n v="0"/>
    <n v="0"/>
    <n v="0"/>
    <n v="0"/>
    <n v="0"/>
    <m/>
    <m/>
    <m/>
    <m/>
    <m/>
    <m/>
    <m/>
    <x v="4"/>
    <x v="15"/>
    <m/>
  </r>
  <r>
    <s v="MM03010104"/>
    <s v="RETURN  ON GOODS OTHERS SALES"/>
    <n v="3197.16"/>
    <n v="3197.16"/>
    <n v="3197.16"/>
    <n v="3197.16"/>
    <n v="3197.16"/>
    <m/>
    <m/>
    <m/>
    <m/>
    <m/>
    <m/>
    <m/>
    <x v="4"/>
    <x v="15"/>
    <m/>
  </r>
  <r>
    <s v="MM05010104"/>
    <s v="OTHER INCOMES"/>
    <n v="0"/>
    <n v="0"/>
    <n v="0"/>
    <n v="-15830.56"/>
    <n v="-22699.7"/>
    <m/>
    <m/>
    <m/>
    <m/>
    <m/>
    <m/>
    <m/>
    <x v="4"/>
    <x v="15"/>
    <m/>
  </r>
  <r>
    <s v="NN01010101"/>
    <s v="OPENING BALANCES PLATES FINISHED PRODUCTS"/>
    <n v="5897562"/>
    <n v="5897562"/>
    <n v="5897562"/>
    <n v="5897562"/>
    <n v="5897562"/>
    <m/>
    <m/>
    <m/>
    <m/>
    <m/>
    <m/>
    <m/>
    <x v="4"/>
    <x v="15"/>
    <m/>
  </r>
  <r>
    <s v="NN01010201"/>
    <s v="CLOSING BALANCES FINISHED PRODUCTS OWN PRODUCTION"/>
    <n v="-5092166"/>
    <n v="-5422414"/>
    <n v="-6224459"/>
    <n v="-8348847"/>
    <n v="-6788791"/>
    <m/>
    <m/>
    <m/>
    <m/>
    <m/>
    <m/>
    <m/>
    <x v="4"/>
    <x v="15"/>
    <m/>
  </r>
  <r>
    <s v="NN01010301"/>
    <s v="PROVISION FOR FINISHED PRODUCTS OBSOLESCENCE"/>
    <m/>
    <m/>
    <n v="-8785427.1899999995"/>
    <n v="-8785427.1899999995"/>
    <n v="-8785427.1899999995"/>
    <m/>
    <m/>
    <m/>
    <m/>
    <m/>
    <m/>
    <m/>
    <x v="2"/>
    <x v="6"/>
    <m/>
  </r>
  <r>
    <s v="NN02010101"/>
    <s v="OPENING BALANCES RAW MATERIAL"/>
    <n v="22450570.809999999"/>
    <n v="22450570.809999999"/>
    <n v="22450570.809999999"/>
    <n v="22450570.809999999"/>
    <n v="22450570.809999999"/>
    <m/>
    <m/>
    <m/>
    <m/>
    <m/>
    <m/>
    <m/>
    <x v="4"/>
    <x v="15"/>
    <m/>
  </r>
  <r>
    <s v="NN02010102"/>
    <s v="CLOSING BALANCES RAW MATERIAL"/>
    <n v="-26330455"/>
    <n v="-26553050"/>
    <n v="-18957641.82"/>
    <n v="-20076438.07"/>
    <n v="-18994139.75"/>
    <m/>
    <m/>
    <m/>
    <m/>
    <m/>
    <m/>
    <m/>
    <x v="4"/>
    <x v="15"/>
    <m/>
  </r>
  <r>
    <s v="NN02010103"/>
    <s v="SLABS PURCHASE"/>
    <n v="12290658.369999999"/>
    <n v="22292392.899999999"/>
    <n v="23763535.399999999"/>
    <n v="34672624.590000004"/>
    <n v="40325700.920000002"/>
    <m/>
    <m/>
    <m/>
    <m/>
    <m/>
    <m/>
    <m/>
    <x v="4"/>
    <x v="15"/>
    <m/>
  </r>
  <r>
    <s v="NN02010104"/>
    <s v="INBOUND TRANSPORTS ( TRUCK, TRAIN, VESSEL…)"/>
    <n v="92518.52"/>
    <n v="167435.45000000001"/>
    <n v="240510.49"/>
    <n v="317776.64000000001"/>
    <n v="350015.56"/>
    <m/>
    <m/>
    <m/>
    <m/>
    <m/>
    <m/>
    <m/>
    <x v="4"/>
    <x v="15"/>
    <m/>
  </r>
  <r>
    <s v="NN02010105"/>
    <s v="CUSTOM CLEARANCE AND DUTY EXPENSES"/>
    <n v="0"/>
    <n v="0"/>
    <n v="0"/>
    <n v="0"/>
    <n v="0"/>
    <m/>
    <m/>
    <m/>
    <m/>
    <m/>
    <m/>
    <m/>
    <x v="4"/>
    <x v="15"/>
    <m/>
  </r>
  <r>
    <s v="NN02010106"/>
    <s v="LOADING AND UNLOADING EXPENSES"/>
    <n v="63355.5"/>
    <n v="64993.19"/>
    <n v="120214.47"/>
    <n v="173730.13"/>
    <n v="208093.84"/>
    <m/>
    <m/>
    <m/>
    <m/>
    <m/>
    <m/>
    <m/>
    <x v="4"/>
    <x v="15"/>
    <m/>
  </r>
  <r>
    <s v="NN02020101"/>
    <s v="OPENING BALANCES CONSUMABLES AND SPARE SPARTS"/>
    <n v="76252.210000000006"/>
    <n v="76252.210000000006"/>
    <n v="76252.210000000006"/>
    <n v="76252.210000000006"/>
    <n v="76252.210000000006"/>
    <m/>
    <m/>
    <m/>
    <m/>
    <m/>
    <m/>
    <m/>
    <x v="4"/>
    <x v="15"/>
    <m/>
  </r>
  <r>
    <s v="NN02020102"/>
    <s v="CLOSING BALANCES CONSUMABLES AND SPARE SPARTS"/>
    <n v="-98246.3"/>
    <n v="-97406.05"/>
    <n v="-91053.84"/>
    <n v="-86067.55"/>
    <n v="-93319.48"/>
    <m/>
    <m/>
    <m/>
    <m/>
    <m/>
    <m/>
    <m/>
    <x v="4"/>
    <x v="15"/>
    <m/>
  </r>
  <r>
    <s v="NN02020103"/>
    <s v="MAINTENANCE CONSUMABLES PURCHASE COSTS"/>
    <n v="86231.43"/>
    <n v="184312.23"/>
    <n v="290301.81"/>
    <n v="367531.01"/>
    <n v="462533.11"/>
    <m/>
    <m/>
    <m/>
    <m/>
    <m/>
    <m/>
    <m/>
    <x v="4"/>
    <x v="15"/>
    <m/>
  </r>
  <r>
    <s v="NN02030101"/>
    <s v="OPENING BALANCES MAINTENANCE"/>
    <n v="3961298.71"/>
    <n v="3961298.71"/>
    <n v="3961298.71"/>
    <n v="3961298.71"/>
    <n v="3961298.71"/>
    <m/>
    <m/>
    <m/>
    <m/>
    <m/>
    <m/>
    <m/>
    <x v="4"/>
    <x v="15"/>
    <m/>
  </r>
  <r>
    <s v="NN02030102"/>
    <s v="CLOSING BALANCES MAINTENANCE"/>
    <n v="-3974458.88"/>
    <n v="-4044868.78"/>
    <n v="-4087178.05"/>
    <n v="-3996065.24"/>
    <n v="-3986553.92"/>
    <m/>
    <m/>
    <m/>
    <m/>
    <m/>
    <m/>
    <m/>
    <x v="4"/>
    <x v="15"/>
    <m/>
  </r>
  <r>
    <s v="NN02030103"/>
    <s v="COST OF MAINTENANCE MATERIAL"/>
    <n v="136489.57"/>
    <n v="304969.38"/>
    <n v="425539.04"/>
    <n v="496782.54"/>
    <n v="674483.4"/>
    <m/>
    <m/>
    <m/>
    <m/>
    <m/>
    <m/>
    <m/>
    <x v="4"/>
    <x v="15"/>
    <m/>
  </r>
  <r>
    <s v="NN02040101"/>
    <s v="SAFETY EQUIPMENT"/>
    <n v="2375.1799999999998"/>
    <n v="7991.27"/>
    <n v="11688.59"/>
    <n v="13812.01"/>
    <n v="14558.11"/>
    <m/>
    <m/>
    <m/>
    <m/>
    <m/>
    <m/>
    <m/>
    <x v="4"/>
    <x v="15"/>
    <m/>
  </r>
  <r>
    <s v="NN02040102"/>
    <s v="OTHER MATERIAL ( CLEANING, HEALTHY, SIGNALS )"/>
    <n v="345.81"/>
    <n v="691.62"/>
    <n v="1037.43"/>
    <n v="1383.24"/>
    <n v="1729.05"/>
    <m/>
    <m/>
    <m/>
    <m/>
    <m/>
    <m/>
    <m/>
    <x v="4"/>
    <x v="15"/>
    <m/>
  </r>
  <r>
    <s v="NN02040103"/>
    <s v="IT MATERIAL"/>
    <n v="4604.2299999999996"/>
    <n v="6904.11"/>
    <n v="8384.58"/>
    <n v="10351.85"/>
    <n v="11521.88"/>
    <m/>
    <m/>
    <m/>
    <m/>
    <m/>
    <m/>
    <m/>
    <x v="4"/>
    <x v="15"/>
    <m/>
  </r>
  <r>
    <s v="NN03010101"/>
    <s v="OPENING BALANCES TRADING PRODUCTS"/>
    <n v="2609943.39"/>
    <n v="2609943.39"/>
    <n v="2609943.39"/>
    <n v="2609943.39"/>
    <n v="2609943.39"/>
    <m/>
    <m/>
    <m/>
    <m/>
    <m/>
    <m/>
    <m/>
    <x v="4"/>
    <x v="15"/>
    <m/>
  </r>
  <r>
    <s v="NN03010102"/>
    <s v="CLOSING BALANCES TRADING PRODUCTS"/>
    <n v="-2410963.98"/>
    <n v="-3040673.19"/>
    <n v="-4292894.3899999997"/>
    <n v="-3381684.24"/>
    <n v="-3852798.2"/>
    <m/>
    <m/>
    <m/>
    <m/>
    <m/>
    <m/>
    <m/>
    <x v="4"/>
    <x v="15"/>
    <m/>
  </r>
  <r>
    <s v="NN03010103"/>
    <s v="TRADING PRODUCT PURCHASE"/>
    <n v="1609182.16"/>
    <n v="4513683.1399999997"/>
    <n v="7383298.8200000003"/>
    <n v="8037312.9299999997"/>
    <n v="10670043.48"/>
    <m/>
    <m/>
    <m/>
    <m/>
    <m/>
    <m/>
    <m/>
    <x v="4"/>
    <x v="15"/>
    <m/>
  </r>
  <r>
    <s v="NN03010106"/>
    <s v="INGOING FREIGHT COST TRADING PRODUCT PURCHASE (vessel)"/>
    <n v="0"/>
    <n v="28547.83"/>
    <n v="46624.11"/>
    <n v="90846.88"/>
    <n v="111911.67"/>
    <m/>
    <m/>
    <m/>
    <m/>
    <m/>
    <m/>
    <m/>
    <x v="4"/>
    <x v="15"/>
    <m/>
  </r>
  <r>
    <s v="NN04010102"/>
    <s v="OUTBOUND TRANSPORTS MATERIALS OWN PRODUCTION (VESSEL )"/>
    <n v="0"/>
    <n v="0"/>
    <n v="0"/>
    <n v="0"/>
    <n v="0"/>
    <m/>
    <m/>
    <m/>
    <m/>
    <m/>
    <m/>
    <m/>
    <x v="4"/>
    <x v="15"/>
    <m/>
  </r>
  <r>
    <s v="NN04010103"/>
    <s v="OUTBOUND TRANSPORTS MATERIALS OWN PRODUCTION (TRUCK)"/>
    <n v="541014.19999999995"/>
    <n v="965336.91"/>
    <n v="1354361.87"/>
    <n v="1705755"/>
    <n v="2128047.4500000002"/>
    <m/>
    <m/>
    <m/>
    <m/>
    <m/>
    <m/>
    <m/>
    <x v="4"/>
    <x v="15"/>
    <m/>
  </r>
  <r>
    <s v="NN04010203"/>
    <s v="EXPORT CHARGES FOR OUTBOUND TRANSPORTS (TRUCK)"/>
    <n v="36355.42"/>
    <n v="65782.81"/>
    <n v="85842.89"/>
    <n v="108021.4"/>
    <n v="126319.18"/>
    <m/>
    <m/>
    <m/>
    <m/>
    <m/>
    <m/>
    <m/>
    <x v="4"/>
    <x v="15"/>
    <m/>
  </r>
  <r>
    <s v="NN04030102"/>
    <s v="OUTBOUND TRANSPORTS TRADED PRODUCT FROM PORT (VESSEL)"/>
    <n v="0"/>
    <n v="0"/>
    <n v="0"/>
    <n v="0"/>
    <n v="0"/>
    <m/>
    <m/>
    <m/>
    <m/>
    <m/>
    <m/>
    <m/>
    <x v="4"/>
    <x v="15"/>
    <m/>
  </r>
  <r>
    <s v="NN04030103"/>
    <s v="OUTBOUND TRANSPORTS TRADED PRODUCT FROM PORT (TRUCK)"/>
    <n v="3230.1"/>
    <n v="34935.1"/>
    <n v="43705.1"/>
    <n v="59680.1"/>
    <n v="86915.09"/>
    <m/>
    <m/>
    <m/>
    <m/>
    <m/>
    <m/>
    <m/>
    <x v="4"/>
    <x v="15"/>
    <m/>
  </r>
  <r>
    <s v="NN05010101"/>
    <s v="COMMISSION ON SALES MATERIALS OWN PRODUCTION"/>
    <n v="35411.769999999997"/>
    <n v="64432.51"/>
    <n v="89186.21"/>
    <n v="113840.85"/>
    <n v="143322.07"/>
    <m/>
    <m/>
    <m/>
    <m/>
    <m/>
    <m/>
    <m/>
    <x v="4"/>
    <x v="15"/>
    <m/>
  </r>
  <r>
    <s v="NN05080105"/>
    <s v="ADVERTISING EXPENSES AND SPONSORING"/>
    <n v="0"/>
    <n v="0"/>
    <n v="0"/>
    <n v="0"/>
    <n v="0"/>
    <m/>
    <m/>
    <m/>
    <m/>
    <m/>
    <m/>
    <m/>
    <x v="4"/>
    <x v="15"/>
    <m/>
  </r>
  <r>
    <s v="NN05080108"/>
    <s v="INSURANCE ON CREDIT"/>
    <n v="15832.47"/>
    <n v="31664.94"/>
    <n v="47497.41"/>
    <n v="11012.71"/>
    <n v="27018.27"/>
    <m/>
    <m/>
    <m/>
    <m/>
    <m/>
    <m/>
    <m/>
    <x v="4"/>
    <x v="15"/>
    <m/>
  </r>
  <r>
    <s v="NN06010101"/>
    <s v="EXTERNAL MANUFACTURED WORK"/>
    <n v="0"/>
    <n v="3145"/>
    <n v="3586.56"/>
    <n v="3586.56"/>
    <n v="6736.56"/>
    <m/>
    <m/>
    <m/>
    <m/>
    <m/>
    <m/>
    <m/>
    <x v="4"/>
    <x v="15"/>
    <m/>
  </r>
  <r>
    <s v="NN06010104"/>
    <s v="SERVICES AND CONSULTANCY"/>
    <n v="27939.17"/>
    <n v="60014.77"/>
    <n v="91902.67"/>
    <n v="123852.63"/>
    <n v="155747.92000000001"/>
    <m/>
    <m/>
    <m/>
    <m/>
    <m/>
    <m/>
    <m/>
    <x v="4"/>
    <x v="15"/>
    <m/>
  </r>
  <r>
    <s v="NN06010106"/>
    <s v="CLEANING SERVICES"/>
    <n v="2622.6"/>
    <n v="5291.2"/>
    <n v="7959.8"/>
    <n v="13060.5"/>
    <n v="16308.25"/>
    <m/>
    <m/>
    <m/>
    <m/>
    <m/>
    <m/>
    <m/>
    <x v="4"/>
    <x v="15"/>
    <m/>
  </r>
  <r>
    <s v="NN06010107"/>
    <s v="WASTE DISPOSAL SERVICES"/>
    <n v="4351.29"/>
    <n v="7977"/>
    <n v="11527.71"/>
    <n v="12069.85"/>
    <n v="15912.61"/>
    <m/>
    <m/>
    <m/>
    <m/>
    <m/>
    <m/>
    <m/>
    <x v="4"/>
    <x v="15"/>
    <m/>
  </r>
  <r>
    <s v="NN06010108"/>
    <s v="MAINTENANCE SERVICES FOR GARDEN"/>
    <n v="0"/>
    <n v="0"/>
    <n v="0"/>
    <n v="0"/>
    <n v="0"/>
    <m/>
    <m/>
    <m/>
    <m/>
    <m/>
    <m/>
    <m/>
    <x v="4"/>
    <x v="15"/>
    <m/>
  </r>
  <r>
    <s v="NN06010109"/>
    <s v="REPAIRS ON STEEL SHEETS"/>
    <n v="0"/>
    <n v="0"/>
    <n v="0"/>
    <n v="0"/>
    <n v="0"/>
    <m/>
    <m/>
    <m/>
    <m/>
    <m/>
    <m/>
    <m/>
    <x v="4"/>
    <x v="15"/>
    <m/>
  </r>
  <r>
    <s v="NN06010110"/>
    <s v="STEEL SHEETS SANDBLASTING"/>
    <n v="2294.9499999999998"/>
    <n v="2294.9499999999998"/>
    <n v="2294.9499999999998"/>
    <n v="2094.75"/>
    <n v="7134.75"/>
    <m/>
    <m/>
    <m/>
    <m/>
    <m/>
    <m/>
    <m/>
    <x v="4"/>
    <x v="15"/>
    <m/>
  </r>
  <r>
    <s v="NN06010112"/>
    <s v="OTHER PROCESSING-RELATED OPER.IONS"/>
    <n v="0"/>
    <n v="0"/>
    <n v="0"/>
    <n v="0"/>
    <n v="0"/>
    <m/>
    <m/>
    <m/>
    <m/>
    <m/>
    <m/>
    <m/>
    <x v="4"/>
    <x v="15"/>
    <m/>
  </r>
  <r>
    <s v="NN06010113"/>
    <s v="STEEL SHEETS TRIMMING"/>
    <n v="0"/>
    <n v="0"/>
    <n v="0"/>
    <n v="0"/>
    <n v="0"/>
    <m/>
    <m/>
    <m/>
    <m/>
    <m/>
    <m/>
    <m/>
    <x v="4"/>
    <x v="15"/>
    <m/>
  </r>
  <r>
    <s v="NN06010114"/>
    <s v="SPECIMEN/SAMPLES PREPARATION"/>
    <n v="0"/>
    <n v="0"/>
    <n v="0"/>
    <n v="0"/>
    <n v="0"/>
    <m/>
    <m/>
    <m/>
    <m/>
    <m/>
    <m/>
    <m/>
    <x v="4"/>
    <x v="15"/>
    <m/>
  </r>
  <r>
    <s v="NN06010115"/>
    <s v="U.S. TESTING"/>
    <n v="0"/>
    <n v="0"/>
    <n v="0"/>
    <n v="0"/>
    <n v="0"/>
    <m/>
    <m/>
    <m/>
    <m/>
    <m/>
    <m/>
    <m/>
    <x v="4"/>
    <x v="15"/>
    <m/>
  </r>
  <r>
    <s v="NN06010117"/>
    <s v="ISO CERTIFICATION"/>
    <n v="0"/>
    <n v="0"/>
    <n v="0"/>
    <n v="0"/>
    <n v="0"/>
    <m/>
    <m/>
    <m/>
    <m/>
    <m/>
    <m/>
    <m/>
    <x v="4"/>
    <x v="15"/>
    <m/>
  </r>
  <r>
    <s v="NN06010118"/>
    <s v="ENVIRONMENTAL SERVICES"/>
    <n v="27392.12"/>
    <n v="54621.91"/>
    <n v="92770.87"/>
    <n v="110637.73"/>
    <n v="132830.60999999999"/>
    <m/>
    <m/>
    <m/>
    <m/>
    <m/>
    <m/>
    <m/>
    <x v="4"/>
    <x v="15"/>
    <m/>
  </r>
  <r>
    <s v="NN06010119"/>
    <s v="CONSULTANCY ON COMPANY SAFETY"/>
    <n v="0"/>
    <n v="0"/>
    <n v="0"/>
    <n v="0"/>
    <n v="0"/>
    <m/>
    <m/>
    <m/>
    <m/>
    <m/>
    <m/>
    <m/>
    <x v="4"/>
    <x v="15"/>
    <m/>
  </r>
  <r>
    <s v="NN06010121"/>
    <s v="TECHNICAL SERVICES AND CONSULTANCY FOR MAINTENANCE"/>
    <n v="137021.34"/>
    <n v="259591.23"/>
    <n v="438905.23"/>
    <n v="525366.94999999995"/>
    <n v="598372.54"/>
    <m/>
    <m/>
    <m/>
    <m/>
    <m/>
    <m/>
    <m/>
    <x v="4"/>
    <x v="15"/>
    <m/>
  </r>
  <r>
    <s v="NN06010122"/>
    <s v="OTHER TECHNICAL SERVICES AND CONSULTANCY"/>
    <n v="7640"/>
    <n v="9684.75"/>
    <n v="11729.5"/>
    <n v="16574.82"/>
    <n v="20569.23"/>
    <m/>
    <m/>
    <m/>
    <m/>
    <m/>
    <m/>
    <m/>
    <x v="4"/>
    <x v="15"/>
    <m/>
  </r>
  <r>
    <s v="NN06010201"/>
    <s v="ENERGY"/>
    <n v="190344.17"/>
    <n v="358141.55"/>
    <n v="391132.44"/>
    <n v="574976.73"/>
    <n v="729483.96"/>
    <m/>
    <m/>
    <m/>
    <m/>
    <m/>
    <m/>
    <m/>
    <x v="4"/>
    <x v="15"/>
    <m/>
  </r>
  <r>
    <s v="NN06010202"/>
    <s v="GAS"/>
    <n v="272295.89"/>
    <n v="547898.41"/>
    <n v="819628.8"/>
    <n v="1135016.58"/>
    <n v="1442926.86"/>
    <m/>
    <m/>
    <m/>
    <m/>
    <m/>
    <m/>
    <m/>
    <x v="4"/>
    <x v="15"/>
    <m/>
  </r>
  <r>
    <s v="NN06010203"/>
    <s v="OXYGEN"/>
    <n v="11073.8"/>
    <n v="26323.35"/>
    <n v="32083.9"/>
    <n v="53377.83"/>
    <n v="63009.11"/>
    <m/>
    <m/>
    <m/>
    <m/>
    <m/>
    <m/>
    <m/>
    <x v="4"/>
    <x v="15"/>
    <m/>
  </r>
  <r>
    <s v="NN06010205"/>
    <s v="WATERS"/>
    <n v="5615.01"/>
    <n v="16212.43"/>
    <n v="25761"/>
    <n v="35761"/>
    <n v="45793.08"/>
    <m/>
    <m/>
    <m/>
    <m/>
    <m/>
    <m/>
    <m/>
    <x v="4"/>
    <x v="15"/>
    <m/>
  </r>
  <r>
    <s v="NN06010206"/>
    <s v="OTHER ENERGIES"/>
    <n v="5246.66"/>
    <n v="14143.63"/>
    <n v="21557.759999999998"/>
    <n v="26207.119999999999"/>
    <n v="38173.629999999997"/>
    <m/>
    <m/>
    <m/>
    <m/>
    <m/>
    <m/>
    <m/>
    <x v="4"/>
    <x v="15"/>
    <m/>
  </r>
  <r>
    <s v="NN06010301"/>
    <s v="OTHER INBOUND TRANSPORTS"/>
    <n v="1635.42"/>
    <n v="3202.98"/>
    <n v="5916.99"/>
    <n v="14849.53"/>
    <n v="39188.17"/>
    <m/>
    <m/>
    <m/>
    <m/>
    <m/>
    <m/>
    <m/>
    <x v="4"/>
    <x v="15"/>
    <m/>
  </r>
  <r>
    <s v="NN06010302"/>
    <s v="INDUSTRIALS INSURANCES"/>
    <n v="0"/>
    <n v="0"/>
    <n v="0"/>
    <n v="0"/>
    <n v="0"/>
    <m/>
    <m/>
    <m/>
    <m/>
    <m/>
    <m/>
    <m/>
    <x v="4"/>
    <x v="15"/>
    <m/>
  </r>
  <r>
    <s v="NN06020102"/>
    <s v="TRAVEL EXPENSES  -  HOTEL"/>
    <n v="81.45"/>
    <n v="475.32"/>
    <n v="556.15"/>
    <n v="556.15"/>
    <n v="1245.3699999999999"/>
    <m/>
    <m/>
    <m/>
    <m/>
    <m/>
    <m/>
    <m/>
    <x v="4"/>
    <x v="15"/>
    <m/>
  </r>
  <r>
    <s v="NN06020103"/>
    <s v="TRAVEL EXPENSES  -  TRANSPORTATION  ( FLIGHTS, TRAIN…)"/>
    <n v="393.71"/>
    <n v="1840.46"/>
    <n v="4499.8"/>
    <n v="4850.95"/>
    <n v="5929.94"/>
    <m/>
    <m/>
    <m/>
    <m/>
    <m/>
    <m/>
    <m/>
    <x v="4"/>
    <x v="15"/>
    <m/>
  </r>
  <r>
    <s v="NN06020104"/>
    <s v="SHORT TERM RENT CAR"/>
    <n v="0"/>
    <n v="0"/>
    <n v="0"/>
    <n v="0"/>
    <n v="0"/>
    <m/>
    <m/>
    <m/>
    <m/>
    <m/>
    <m/>
    <m/>
    <x v="4"/>
    <x v="15"/>
    <m/>
  </r>
  <r>
    <s v="NN06020105"/>
    <s v="FUEL EXPENSES"/>
    <n v="0"/>
    <n v="0"/>
    <n v="0"/>
    <n v="0"/>
    <n v="61.6"/>
    <m/>
    <m/>
    <m/>
    <m/>
    <m/>
    <m/>
    <m/>
    <x v="4"/>
    <x v="15"/>
    <m/>
  </r>
  <r>
    <s v="NN06020106"/>
    <s v="TICKET HIGHWAY EXPENSES"/>
    <n v="0"/>
    <n v="0"/>
    <n v="7.17"/>
    <n v="72.989999999999995"/>
    <n v="90.98"/>
    <m/>
    <m/>
    <m/>
    <m/>
    <m/>
    <m/>
    <m/>
    <x v="4"/>
    <x v="15"/>
    <m/>
  </r>
  <r>
    <s v="NN06020107"/>
    <s v="MILEAGE REIMBOURSEMENT"/>
    <n v="406.48"/>
    <n v="946.7"/>
    <n v="1729.02"/>
    <n v="1927.03"/>
    <n v="3473.65"/>
    <m/>
    <m/>
    <m/>
    <m/>
    <m/>
    <m/>
    <m/>
    <x v="4"/>
    <x v="15"/>
    <m/>
  </r>
  <r>
    <s v="NN06020109"/>
    <s v="OTHER TRAVEL EXPENSES"/>
    <n v="1.3"/>
    <n v="1.3"/>
    <n v="1.3"/>
    <n v="1.3"/>
    <n v="1.3"/>
    <m/>
    <m/>
    <m/>
    <m/>
    <m/>
    <m/>
    <m/>
    <x v="4"/>
    <x v="15"/>
    <m/>
  </r>
  <r>
    <s v="NN06020202"/>
    <s v="TRAINING, STAGES COURSE, MEETINGS…"/>
    <n v="2075.83"/>
    <n v="6879.82"/>
    <n v="9314.8700000000008"/>
    <n v="11872.7"/>
    <n v="16783.52"/>
    <m/>
    <m/>
    <m/>
    <m/>
    <m/>
    <m/>
    <m/>
    <x v="4"/>
    <x v="15"/>
    <m/>
  </r>
  <r>
    <s v="NN06020203"/>
    <s v="INSURANCES EMPLOYEES"/>
    <n v="6562.31"/>
    <n v="15380.14"/>
    <n v="24955.59"/>
    <n v="34531.03"/>
    <n v="44270.7"/>
    <m/>
    <m/>
    <m/>
    <m/>
    <m/>
    <m/>
    <m/>
    <x v="4"/>
    <x v="15"/>
    <m/>
  </r>
  <r>
    <s v="NN06020204"/>
    <s v="PURCHASING OF DRINK AND FOOD (STAFF AND ONSITE LUNCHES)"/>
    <n v="33.979999999999997"/>
    <n v="44.97"/>
    <n v="94.82"/>
    <n v="121.77"/>
    <n v="326.27999999999997"/>
    <m/>
    <m/>
    <m/>
    <m/>
    <m/>
    <m/>
    <m/>
    <x v="4"/>
    <x v="15"/>
    <m/>
  </r>
  <r>
    <s v="NN06020205"/>
    <s v="BUSINESS LUNCH AND DINNERS (ENTERTAINMENT)"/>
    <n v="1381.92"/>
    <n v="2659.85"/>
    <n v="5188.05"/>
    <n v="5364.85"/>
    <n v="7661.56"/>
    <m/>
    <m/>
    <m/>
    <m/>
    <m/>
    <m/>
    <m/>
    <x v="4"/>
    <x v="15"/>
    <m/>
  </r>
  <r>
    <s v="NN06030101"/>
    <s v="GENERAL CONSULTANCIES"/>
    <n v="5150"/>
    <n v="11333.33"/>
    <n v="17708.330000000002"/>
    <n v="20305.830000000002"/>
    <n v="21603.33"/>
    <m/>
    <m/>
    <m/>
    <m/>
    <m/>
    <m/>
    <m/>
    <x v="4"/>
    <x v="15"/>
    <m/>
  </r>
  <r>
    <s v="NN06030102"/>
    <s v="LEGAL AND NOTARY CONSULTANCIES"/>
    <n v="21971.14"/>
    <n v="7572.14"/>
    <n v="128347.42"/>
    <n v="135989.92000000001"/>
    <n v="149289.42000000001"/>
    <m/>
    <m/>
    <m/>
    <m/>
    <m/>
    <m/>
    <m/>
    <x v="4"/>
    <x v="15"/>
    <m/>
  </r>
  <r>
    <s v="NN06030104"/>
    <s v="AUDIT SERVICES"/>
    <n v="4666.67"/>
    <n v="9333.34"/>
    <n v="14000.01"/>
    <n v="18666.68"/>
    <n v="27383.35"/>
    <m/>
    <m/>
    <m/>
    <m/>
    <m/>
    <m/>
    <m/>
    <x v="4"/>
    <x v="15"/>
    <m/>
  </r>
  <r>
    <s v="NN06030105"/>
    <s v="TAX CONSULTANCIES"/>
    <n v="6384.77"/>
    <n v="33384.769999999997"/>
    <n v="34175.46"/>
    <n v="35426.94"/>
    <n v="36728.019999999997"/>
    <m/>
    <m/>
    <m/>
    <m/>
    <m/>
    <m/>
    <m/>
    <x v="4"/>
    <x v="15"/>
    <m/>
  </r>
  <r>
    <s v="NN06030107"/>
    <s v="IT CONSULTANCIES"/>
    <n v="6666.58"/>
    <n v="14867.14"/>
    <n v="22912.44"/>
    <n v="31208.61"/>
    <n v="41097.82"/>
    <m/>
    <m/>
    <m/>
    <m/>
    <m/>
    <m/>
    <m/>
    <x v="4"/>
    <x v="15"/>
    <m/>
  </r>
  <r>
    <s v="NN06030108"/>
    <s v="PAYROLL CONSULTANCIES"/>
    <n v="0"/>
    <n v="0"/>
    <n v="0"/>
    <n v="0"/>
    <n v="0"/>
    <m/>
    <m/>
    <m/>
    <m/>
    <m/>
    <m/>
    <m/>
    <x v="4"/>
    <x v="15"/>
    <m/>
  </r>
  <r>
    <s v="NN06030109"/>
    <s v="MEDICAL CONSULTANCIES"/>
    <n v="0"/>
    <n v="0"/>
    <n v="0"/>
    <n v="0"/>
    <n v="0"/>
    <m/>
    <m/>
    <m/>
    <m/>
    <m/>
    <m/>
    <m/>
    <x v="4"/>
    <x v="15"/>
    <m/>
  </r>
  <r>
    <s v="NN06030110"/>
    <s v="TEMPORARY CONSULTANCIES ( SERVICES )"/>
    <n v="0"/>
    <n v="0"/>
    <n v="0"/>
    <n v="0"/>
    <n v="0"/>
    <m/>
    <m/>
    <m/>
    <m/>
    <m/>
    <m/>
    <m/>
    <x v="4"/>
    <x v="15"/>
    <m/>
  </r>
  <r>
    <s v="NN06030111"/>
    <s v="PERSONNEL RESEARCH CONSULTANCIES"/>
    <n v="24"/>
    <n v="3745.92"/>
    <n v="4072.69"/>
    <n v="4072.69"/>
    <n v="4191.8599999999997"/>
    <m/>
    <m/>
    <m/>
    <m/>
    <m/>
    <m/>
    <m/>
    <x v="4"/>
    <x v="15"/>
    <m/>
  </r>
  <r>
    <s v="NN06030201"/>
    <s v="OPERATIONAL BANKS COMMISSIONS"/>
    <n v="4806.67"/>
    <n v="11955.72"/>
    <n v="18055.599999999999"/>
    <n v="23173.56"/>
    <n v="25039.15"/>
    <m/>
    <m/>
    <m/>
    <m/>
    <m/>
    <m/>
    <m/>
    <x v="4"/>
    <x v="15"/>
    <m/>
  </r>
  <r>
    <s v="NN06030202"/>
    <s v="ADVERTISEMENTS, PRESS RELEASE AND SIMILAR"/>
    <n v="0"/>
    <n v="202.8"/>
    <n v="202.8"/>
    <n v="202.8"/>
    <n v="202.8"/>
    <m/>
    <m/>
    <m/>
    <m/>
    <m/>
    <m/>
    <m/>
    <x v="4"/>
    <x v="15"/>
    <m/>
  </r>
  <r>
    <s v="NN06030204"/>
    <s v="TELEPHONE EXPENSES"/>
    <n v="125"/>
    <n v="375.57"/>
    <n v="501.52"/>
    <n v="626.79999999999995"/>
    <n v="650.53"/>
    <m/>
    <m/>
    <m/>
    <m/>
    <m/>
    <m/>
    <m/>
    <x v="4"/>
    <x v="15"/>
    <m/>
  </r>
  <r>
    <s v="NN06030205"/>
    <s v="MOBILE EXPENSES"/>
    <n v="1091.8599999999999"/>
    <n v="2286.69"/>
    <n v="354.22"/>
    <n v="1310.18"/>
    <n v="1620.29"/>
    <m/>
    <m/>
    <m/>
    <m/>
    <m/>
    <m/>
    <m/>
    <x v="4"/>
    <x v="15"/>
    <m/>
  </r>
  <r>
    <s v="NN06030206"/>
    <s v="CAR EXPENSES"/>
    <n v="0"/>
    <n v="0"/>
    <n v="0"/>
    <n v="0"/>
    <n v="0"/>
    <m/>
    <m/>
    <m/>
    <m/>
    <m/>
    <m/>
    <m/>
    <x v="4"/>
    <x v="15"/>
    <m/>
  </r>
  <r>
    <s v="NN06030210"/>
    <s v="REPRESENTATION EXPENSES"/>
    <n v="0"/>
    <n v="997.6"/>
    <n v="997.6"/>
    <n v="997.6"/>
    <n v="997.6"/>
    <m/>
    <m/>
    <m/>
    <m/>
    <m/>
    <m/>
    <m/>
    <x v="4"/>
    <x v="15"/>
    <m/>
  </r>
  <r>
    <s v="NN06030211"/>
    <s v="STATIONERY AND PRINTERS"/>
    <n v="185"/>
    <n v="1440.87"/>
    <n v="4379.22"/>
    <n v="4425.88"/>
    <n v="7761.96"/>
    <m/>
    <m/>
    <m/>
    <m/>
    <m/>
    <m/>
    <m/>
    <x v="4"/>
    <x v="15"/>
    <m/>
  </r>
  <r>
    <s v="NN06030212"/>
    <s v="SURVEILLANCE SERVICES"/>
    <n v="12000.72"/>
    <n v="24388.560000000001"/>
    <n v="35615.040000000001"/>
    <n v="48519.040000000001"/>
    <n v="63469.760000000002"/>
    <m/>
    <m/>
    <m/>
    <m/>
    <m/>
    <m/>
    <m/>
    <x v="4"/>
    <x v="15"/>
    <m/>
  </r>
  <r>
    <s v="NN06030214"/>
    <s v="FREE SUPPLIES"/>
    <n v="234.2"/>
    <n v="510.6"/>
    <n v="1313.26"/>
    <n v="1888.45"/>
    <n v="2473.84"/>
    <m/>
    <m/>
    <m/>
    <m/>
    <m/>
    <m/>
    <m/>
    <x v="4"/>
    <x v="15"/>
    <m/>
  </r>
  <r>
    <s v="NN06030215"/>
    <s v="OTHERS"/>
    <n v="390.78"/>
    <n v="690.43"/>
    <n v="3284.25"/>
    <n v="5106.49"/>
    <n v="5717.81"/>
    <m/>
    <m/>
    <m/>
    <m/>
    <m/>
    <m/>
    <m/>
    <x v="4"/>
    <x v="15"/>
    <m/>
  </r>
  <r>
    <s v="NN06030217"/>
    <s v="POSTAGE"/>
    <n v="105"/>
    <n v="110.49"/>
    <n v="159.62"/>
    <n v="980.99"/>
    <n v="980.99"/>
    <m/>
    <m/>
    <m/>
    <m/>
    <m/>
    <m/>
    <m/>
    <x v="4"/>
    <x v="15"/>
    <m/>
  </r>
  <r>
    <s v="NN07010101"/>
    <s v="RENT OF EQUIPMENT"/>
    <n v="6322.15"/>
    <n v="15331.38"/>
    <n v="24827.02"/>
    <n v="31582.32"/>
    <n v="36187.33"/>
    <m/>
    <m/>
    <m/>
    <m/>
    <m/>
    <m/>
    <m/>
    <x v="4"/>
    <x v="15"/>
    <m/>
  </r>
  <r>
    <s v="NN07010102"/>
    <s v="CAR RENT LONT TERM"/>
    <n v="0"/>
    <n v="0"/>
    <n v="0"/>
    <n v="0"/>
    <n v="0"/>
    <m/>
    <m/>
    <m/>
    <m/>
    <m/>
    <m/>
    <m/>
    <x v="4"/>
    <x v="15"/>
    <m/>
  </r>
  <r>
    <s v="NN07010104"/>
    <s v="OTHER RENTS"/>
    <n v="9170.07"/>
    <n v="19070.310000000001"/>
    <n v="19518.310000000001"/>
    <n v="30821.38"/>
    <n v="39355.379999999997"/>
    <m/>
    <m/>
    <m/>
    <m/>
    <m/>
    <m/>
    <m/>
    <x v="4"/>
    <x v="15"/>
    <m/>
  </r>
  <r>
    <s v="NN07020101"/>
    <s v="CARS"/>
    <n v="91.31"/>
    <n v="-1323.35"/>
    <n v="1415.58"/>
    <n v="2041.28"/>
    <n v="2666.98"/>
    <m/>
    <m/>
    <m/>
    <m/>
    <m/>
    <m/>
    <m/>
    <x v="4"/>
    <x v="15"/>
    <m/>
  </r>
  <r>
    <s v="NN07020102"/>
    <s v="PLANT AND SYSTEM LEASING"/>
    <n v="5667.26"/>
    <n v="8785.36"/>
    <n v="11316"/>
    <n v="13570"/>
    <n v="25850"/>
    <m/>
    <m/>
    <m/>
    <m/>
    <m/>
    <m/>
    <m/>
    <x v="4"/>
    <x v="15"/>
    <m/>
  </r>
  <r>
    <s v="NN07030101"/>
    <s v="OFFICE RENTALS"/>
    <n v="200.01"/>
    <n v="407.2"/>
    <n v="940.56"/>
    <n v="940.56"/>
    <n v="1781.55"/>
    <m/>
    <m/>
    <m/>
    <m/>
    <m/>
    <m/>
    <m/>
    <x v="4"/>
    <x v="15"/>
    <m/>
  </r>
  <r>
    <s v="NN08010101"/>
    <s v="WAGES AND SALARY"/>
    <n v="433433.29"/>
    <n v="900227.04"/>
    <n v="1412994.85"/>
    <n v="1862070.2"/>
    <n v="2335763.0499999998"/>
    <m/>
    <m/>
    <m/>
    <m/>
    <m/>
    <m/>
    <m/>
    <x v="4"/>
    <x v="15"/>
    <m/>
  </r>
  <r>
    <s v="NN08010103"/>
    <s v="UTILIZATION OVERTIME"/>
    <m/>
    <m/>
    <m/>
    <n v="0"/>
    <n v="0"/>
    <m/>
    <m/>
    <m/>
    <m/>
    <m/>
    <m/>
    <m/>
    <x v="2"/>
    <x v="6"/>
    <m/>
  </r>
  <r>
    <s v="NN08010110"/>
    <s v="DIFFERENCES ON PROV/CONS SURCHARGES"/>
    <n v="0"/>
    <n v="0"/>
    <n v="0"/>
    <n v="0"/>
    <n v="0"/>
    <m/>
    <m/>
    <m/>
    <m/>
    <m/>
    <m/>
    <m/>
    <x v="4"/>
    <x v="15"/>
    <m/>
  </r>
  <r>
    <s v="NN08010120"/>
    <s v="MBO - ACCRUALS"/>
    <n v="59217.19"/>
    <n v="118434.38"/>
    <n v="177651.57"/>
    <n v="-88036.24"/>
    <n v="-28656.400000000001"/>
    <m/>
    <m/>
    <m/>
    <m/>
    <m/>
    <m/>
    <m/>
    <x v="4"/>
    <x v="15"/>
    <m/>
  </r>
  <r>
    <s v="NN08010121"/>
    <s v="MBO - CONSUMPTION"/>
    <m/>
    <m/>
    <m/>
    <n v="186862"/>
    <n v="186862"/>
    <m/>
    <m/>
    <m/>
    <m/>
    <m/>
    <m/>
    <m/>
    <x v="2"/>
    <x v="6"/>
    <m/>
  </r>
  <r>
    <s v="NN08020101"/>
    <s v="INSURANCES FOR HEALTH AND SECURITY"/>
    <n v="0"/>
    <n v="0"/>
    <n v="0"/>
    <n v="0"/>
    <n v="0"/>
    <m/>
    <m/>
    <m/>
    <m/>
    <m/>
    <m/>
    <m/>
    <x v="4"/>
    <x v="15"/>
    <m/>
  </r>
  <r>
    <s v="NN08020201"/>
    <s v="SOCIAL CHARGES WAGES AND SALARY"/>
    <n v="45846.77"/>
    <n v="94978.35"/>
    <n v="149945.57999999999"/>
    <n v="200322.47"/>
    <n v="252881.06"/>
    <m/>
    <m/>
    <m/>
    <m/>
    <m/>
    <m/>
    <m/>
    <x v="4"/>
    <x v="15"/>
    <m/>
  </r>
  <r>
    <s v="NN08030101"/>
    <s v="CURRENT RETIREMENT ALLOWANCE"/>
    <n v="15513.41"/>
    <n v="31490.15"/>
    <n v="49137.66"/>
    <n v="74226.64"/>
    <n v="91232.15"/>
    <m/>
    <m/>
    <m/>
    <m/>
    <m/>
    <m/>
    <m/>
    <x v="4"/>
    <x v="15"/>
    <m/>
  </r>
  <r>
    <s v="NN09010106"/>
    <s v="DEPRECIATION OF OTHER INTANGIBLE ASSETS"/>
    <n v="159.06"/>
    <n v="318.12"/>
    <n v="477.18"/>
    <n v="636.24"/>
    <n v="795.31"/>
    <m/>
    <m/>
    <m/>
    <m/>
    <m/>
    <m/>
    <m/>
    <x v="4"/>
    <x v="15"/>
    <m/>
  </r>
  <r>
    <s v="NN09020102"/>
    <s v="DEPRECIATION ON INDUSTRIAL BUILDINGS"/>
    <n v="0"/>
    <n v="0"/>
    <n v="0"/>
    <n v="0"/>
    <n v="0"/>
    <m/>
    <m/>
    <m/>
    <m/>
    <m/>
    <m/>
    <m/>
    <x v="4"/>
    <x v="15"/>
    <m/>
  </r>
  <r>
    <s v="NN09020104"/>
    <s v="DEPRECIATION ON GENERIC AND SPECIFIC PLANTS"/>
    <n v="103943.7"/>
    <n v="207624.72"/>
    <n v="311689.31"/>
    <n v="415752.4"/>
    <n v="520106.72"/>
    <m/>
    <m/>
    <m/>
    <m/>
    <m/>
    <m/>
    <m/>
    <x v="4"/>
    <x v="15"/>
    <m/>
  </r>
  <r>
    <s v="NN09020116"/>
    <s v="DEPRECIATION ON ASSETS LESS 1M WORTH"/>
    <n v="1229.29"/>
    <n v="2458.59"/>
    <n v="3687.88"/>
    <n v="4917.18"/>
    <n v="6146.48"/>
    <m/>
    <m/>
    <m/>
    <m/>
    <m/>
    <m/>
    <m/>
    <x v="4"/>
    <x v="15"/>
    <m/>
  </r>
  <r>
    <s v="NN09030101"/>
    <s v="PROVISIONS FOR DOUBTFUL ACCOUNTS"/>
    <n v="0"/>
    <n v="0"/>
    <n v="0"/>
    <n v="0"/>
    <n v="0"/>
    <m/>
    <m/>
    <m/>
    <m/>
    <m/>
    <m/>
    <m/>
    <x v="4"/>
    <x v="15"/>
    <m/>
  </r>
  <r>
    <s v="NN09060103"/>
    <s v="DEPRECIATION - COMMERCIAL EQUIPMENT IFRS16"/>
    <n v="13897.92"/>
    <n v="27795.84"/>
    <n v="41693.760000000002"/>
    <n v="55591.68"/>
    <n v="69489.600000000006"/>
    <m/>
    <m/>
    <m/>
    <m/>
    <m/>
    <m/>
    <m/>
    <x v="4"/>
    <x v="15"/>
    <m/>
  </r>
  <r>
    <s v="NN09060104"/>
    <s v="DEPRECIATION - OTHER LEASED ASSETS IFRS16"/>
    <n v="1758.76"/>
    <n v="3517.52"/>
    <n v="5276.28"/>
    <n v="7035.04"/>
    <n v="8793.7999999999993"/>
    <m/>
    <m/>
    <m/>
    <m/>
    <m/>
    <m/>
    <m/>
    <x v="4"/>
    <x v="15"/>
    <m/>
  </r>
  <r>
    <s v="NN10010105"/>
    <s v="OTHER PROVISION FOR RISKS"/>
    <n v="16824.419999999998"/>
    <n v="26804.17"/>
    <n v="45422.87"/>
    <n v="64041.57"/>
    <n v="82660.27"/>
    <m/>
    <m/>
    <m/>
    <m/>
    <m/>
    <m/>
    <m/>
    <x v="4"/>
    <x v="15"/>
    <m/>
  </r>
  <r>
    <s v="NN11010101"/>
    <s v="LOSS ON RECEIVABLES"/>
    <n v="0"/>
    <n v="0"/>
    <n v="0"/>
    <n v="0"/>
    <n v="-0.01"/>
    <m/>
    <m/>
    <m/>
    <m/>
    <m/>
    <m/>
    <m/>
    <x v="4"/>
    <x v="15"/>
    <m/>
  </r>
  <r>
    <s v="NN11010102"/>
    <s v="BOOK, MAGAZINES.."/>
    <n v="2659.41"/>
    <n v="1751.52"/>
    <n v="4344.76"/>
    <n v="6764"/>
    <n v="9183.24"/>
    <m/>
    <m/>
    <m/>
    <m/>
    <m/>
    <m/>
    <m/>
    <x v="4"/>
    <x v="15"/>
    <m/>
  </r>
  <r>
    <s v="NN11010103"/>
    <s v="CONTRIBUTIONS FOR ASSOCIATIONS (CREDIT CARD, INDUSTRIAL ASSOCIATIONS, TELEPASS…)"/>
    <n v="0"/>
    <n v="3557.98"/>
    <n v="3557.98"/>
    <n v="3696.98"/>
    <n v="3791.22"/>
    <m/>
    <m/>
    <m/>
    <m/>
    <m/>
    <m/>
    <m/>
    <x v="4"/>
    <x v="15"/>
    <m/>
  </r>
  <r>
    <s v="NN11010104"/>
    <s v="ADMINISTRATIVE PENALTIES"/>
    <n v="0"/>
    <n v="2576.12"/>
    <n v="2576.12"/>
    <n v="2576.12"/>
    <n v="2576.12"/>
    <m/>
    <m/>
    <m/>
    <m/>
    <m/>
    <m/>
    <m/>
    <x v="4"/>
    <x v="15"/>
    <m/>
  </r>
  <r>
    <s v="NN11010105"/>
    <s v="CAPITAL LOSSES ON TRANSFER OF TANG/INTANG."/>
    <n v="0"/>
    <n v="0"/>
    <n v="0"/>
    <n v="0"/>
    <n v="0"/>
    <m/>
    <m/>
    <m/>
    <m/>
    <m/>
    <m/>
    <m/>
    <x v="4"/>
    <x v="15"/>
    <m/>
  </r>
  <r>
    <s v="NN11020101"/>
    <s v="LOCAL PROPERTY TAX"/>
    <n v="6485.33"/>
    <n v="12970.66"/>
    <n v="19455.990000000002"/>
    <n v="26371.99"/>
    <n v="33287.99"/>
    <m/>
    <m/>
    <m/>
    <m/>
    <m/>
    <m/>
    <m/>
    <x v="4"/>
    <x v="15"/>
    <m/>
  </r>
  <r>
    <s v="NN11020103"/>
    <s v="EXCISE LICENCE"/>
    <n v="0"/>
    <n v="0"/>
    <n v="0"/>
    <n v="0"/>
    <n v="0"/>
    <m/>
    <m/>
    <m/>
    <m/>
    <m/>
    <m/>
    <m/>
    <x v="4"/>
    <x v="15"/>
    <m/>
  </r>
  <r>
    <s v="NN11020108"/>
    <s v="GIFTS"/>
    <n v="0"/>
    <n v="0"/>
    <n v="71"/>
    <n v="71"/>
    <n v="71"/>
    <m/>
    <m/>
    <m/>
    <m/>
    <m/>
    <m/>
    <m/>
    <x v="4"/>
    <x v="15"/>
    <m/>
  </r>
  <r>
    <s v="NN11020109"/>
    <s v="VAT NON RECOVERABLE"/>
    <n v="0"/>
    <n v="2812.62"/>
    <n v="2812.62"/>
    <n v="2812.62"/>
    <n v="2812.62"/>
    <m/>
    <m/>
    <m/>
    <m/>
    <m/>
    <m/>
    <m/>
    <x v="4"/>
    <x v="15"/>
    <m/>
  </r>
  <r>
    <s v="NN11020112"/>
    <s v="EMISSION TRADING COSTS"/>
    <n v="12879.86"/>
    <n v="29501.94"/>
    <n v="44643.9"/>
    <n v="66651.350000000006"/>
    <n v="74054.100000000006"/>
    <m/>
    <m/>
    <m/>
    <m/>
    <m/>
    <m/>
    <m/>
    <x v="4"/>
    <x v="15"/>
    <m/>
  </r>
  <r>
    <s v="PP01010102"/>
    <s v="FIN INCOME FROM EQUITY INVESTMENTS DIVIDENDS FROM AFFILIATED COMPANIES"/>
    <n v="0"/>
    <n v="0"/>
    <n v="0"/>
    <n v="0"/>
    <n v="0"/>
    <m/>
    <m/>
    <m/>
    <m/>
    <m/>
    <m/>
    <m/>
    <x v="4"/>
    <x v="15"/>
    <m/>
  </r>
  <r>
    <s v="PP01040101"/>
    <s v="INTEREST FROM CUSTOMERS"/>
    <n v="0"/>
    <n v="0"/>
    <n v="0"/>
    <n v="0"/>
    <n v="0"/>
    <m/>
    <m/>
    <m/>
    <m/>
    <m/>
    <m/>
    <m/>
    <x v="4"/>
    <x v="15"/>
    <m/>
  </r>
  <r>
    <s v="PP01040102"/>
    <s v="INTEREST FROM BANKS"/>
    <n v="0"/>
    <n v="0"/>
    <n v="0"/>
    <n v="0"/>
    <n v="0"/>
    <m/>
    <m/>
    <m/>
    <m/>
    <m/>
    <m/>
    <m/>
    <x v="4"/>
    <x v="15"/>
    <m/>
  </r>
  <r>
    <s v="PP01040104"/>
    <s v="INCOME FOR PUBLIC CONTRIBUTION"/>
    <n v="0"/>
    <n v="0"/>
    <n v="0"/>
    <n v="0"/>
    <n v="0"/>
    <m/>
    <m/>
    <m/>
    <m/>
    <m/>
    <m/>
    <m/>
    <x v="4"/>
    <x v="15"/>
    <m/>
  </r>
  <r>
    <s v="PP01040105"/>
    <s v="OPERATIONAL PROCEEDS FROM EXCHANGE RATE"/>
    <n v="-763989.67"/>
    <n v="-781950.76"/>
    <n v="-839225.01"/>
    <n v="-792420.65"/>
    <n v="-1059789.3600000001"/>
    <m/>
    <m/>
    <m/>
    <m/>
    <m/>
    <m/>
    <m/>
    <x v="4"/>
    <x v="15"/>
    <m/>
  </r>
  <r>
    <s v="PP01040107"/>
    <s v="RATE EXCHANGE FOR RISK COMPENSATION"/>
    <n v="0"/>
    <n v="0"/>
    <n v="0"/>
    <n v="0"/>
    <n v="0"/>
    <m/>
    <m/>
    <m/>
    <m/>
    <m/>
    <m/>
    <m/>
    <x v="4"/>
    <x v="15"/>
    <m/>
  </r>
  <r>
    <s v="PP01040108"/>
    <s v="INTEREST FOR LATE IN PAYMENTS"/>
    <n v="-1546.2"/>
    <n v="-1546.2"/>
    <n v="-1546.2"/>
    <n v="-1546.2"/>
    <n v="1243.77"/>
    <m/>
    <m/>
    <m/>
    <m/>
    <m/>
    <m/>
    <m/>
    <x v="4"/>
    <x v="15"/>
    <m/>
  </r>
  <r>
    <s v="PP02030103"/>
    <s v="INTEREST TO PARENT COMPANIES"/>
    <n v="73055.38"/>
    <n v="141579.10999999999"/>
    <n v="205480.44"/>
    <n v="244143.77"/>
    <n v="279310.45"/>
    <m/>
    <m/>
    <m/>
    <m/>
    <m/>
    <m/>
    <m/>
    <x v="4"/>
    <x v="15"/>
    <m/>
  </r>
  <r>
    <s v="PP02040101"/>
    <s v="INTEREST ON BONDED LOANS"/>
    <n v="2994.91"/>
    <n v="5989.82"/>
    <n v="8411.8799999999992"/>
    <n v="11215.84"/>
    <n v="14019.8"/>
    <m/>
    <m/>
    <m/>
    <m/>
    <m/>
    <m/>
    <m/>
    <x v="4"/>
    <x v="15"/>
    <m/>
  </r>
  <r>
    <s v="PP02040103"/>
    <s v="INTEREST TO SUPPLIERS"/>
    <n v="0"/>
    <n v="0"/>
    <n v="0"/>
    <n v="0"/>
    <n v="0"/>
    <m/>
    <m/>
    <m/>
    <m/>
    <m/>
    <m/>
    <m/>
    <x v="2"/>
    <x v="6"/>
    <m/>
  </r>
  <r>
    <s v="PP02040105"/>
    <s v="EXPENSES ON EXCHANGE RATES"/>
    <n v="649150.24"/>
    <n v="660902.64"/>
    <n v="710339.99"/>
    <n v="717938.47"/>
    <n v="860591.93"/>
    <m/>
    <m/>
    <m/>
    <m/>
    <m/>
    <m/>
    <m/>
    <x v="2"/>
    <x v="6"/>
    <m/>
  </r>
  <r>
    <s v="PP02040106"/>
    <s v="EXCHANGE RATE PROVISION"/>
    <n v="0"/>
    <n v="0"/>
    <n v="0"/>
    <n v="0"/>
    <n v="0"/>
    <m/>
    <m/>
    <m/>
    <m/>
    <m/>
    <m/>
    <m/>
    <x v="2"/>
    <x v="6"/>
    <m/>
  </r>
  <r>
    <s v="PP02050102"/>
    <s v="OTHER FINANCIAL INTEREST AND EXPENSES"/>
    <n v="138518.41"/>
    <n v="247147.35"/>
    <n v="346440.21"/>
    <n v="455332.85"/>
    <n v="589373.78"/>
    <m/>
    <n v="0"/>
    <n v="0"/>
    <n v="0"/>
    <n v="0"/>
    <n v="0"/>
    <n v="0"/>
    <x v="2"/>
    <x v="6"/>
    <m/>
  </r>
  <r>
    <s v="PP02050112"/>
    <s v="EXPENSES ROUNDING"/>
    <n v="110.76"/>
    <n v="110.76"/>
    <n v="121.07"/>
    <n v="123.13"/>
    <n v="129.19999999999999"/>
    <m/>
    <m/>
    <m/>
    <m/>
    <m/>
    <m/>
    <m/>
    <x v="2"/>
    <x v="6"/>
    <m/>
  </r>
  <r>
    <s v="RR02010106"/>
    <s v="OTHERS EXTRAORDINARIES EXPENSES"/>
    <n v="0"/>
    <n v="0"/>
    <n v="0"/>
    <n v="0"/>
    <n v="0"/>
    <m/>
    <m/>
    <m/>
    <m/>
    <m/>
    <m/>
    <m/>
    <x v="2"/>
    <x v="6"/>
    <m/>
  </r>
  <r>
    <s v="SS01010101"/>
    <s v="INCOME TAXES PREVIOUS YEARS"/>
    <n v="0"/>
    <n v="0"/>
    <n v="0"/>
    <n v="0"/>
    <n v="0"/>
    <m/>
    <m/>
    <m/>
    <m/>
    <m/>
    <m/>
    <m/>
    <x v="2"/>
    <x v="6"/>
    <m/>
  </r>
  <r>
    <s v="SS01020101"/>
    <s v="DEFERRED TAX LIABILITIES"/>
    <n v="0"/>
    <n v="0"/>
    <n v="0"/>
    <n v="0"/>
    <n v="0"/>
    <m/>
    <m/>
    <m/>
    <m/>
    <m/>
    <m/>
    <m/>
    <x v="2"/>
    <x v="6"/>
    <m/>
  </r>
  <r>
    <s v="SS01020102"/>
    <s v="DEFERRED TAX ASSETS"/>
    <n v="0"/>
    <n v="0"/>
    <n v="0"/>
    <n v="0"/>
    <n v="0"/>
    <m/>
    <m/>
    <m/>
    <m/>
    <m/>
    <m/>
    <m/>
    <x v="2"/>
    <x v="6"/>
    <m/>
  </r>
  <r>
    <s v="XX01010101"/>
    <s v="PROFIT AND LOSS"/>
    <n v="0"/>
    <n v="0"/>
    <n v="0"/>
    <n v="0"/>
    <n v="0"/>
    <m/>
    <m/>
    <m/>
    <m/>
    <m/>
    <m/>
    <m/>
    <x v="2"/>
    <x v="6"/>
    <m/>
  </r>
  <r>
    <s v="ZZ202"/>
    <s v="CUSTO ACCOUNT"/>
    <n v="0"/>
    <n v="0"/>
    <n v="0"/>
    <n v="0"/>
    <n v="0"/>
    <m/>
    <m/>
    <m/>
    <m/>
    <m/>
    <m/>
    <m/>
    <x v="2"/>
    <x v="6"/>
    <m/>
  </r>
  <r>
    <s v="ZZ91001"/>
    <s v="Opening Balance Upload"/>
    <n v="0"/>
    <n v="0"/>
    <n v="0"/>
    <n v="0"/>
    <n v="0"/>
    <m/>
    <m/>
    <m/>
    <m/>
    <m/>
    <m/>
    <m/>
    <x v="2"/>
    <x v="6"/>
    <m/>
  </r>
  <r>
    <m/>
    <m/>
    <n v="2.1734791744165705E-9"/>
    <n v="2.307002944235137E-8"/>
    <n v="3.9807048324291827E-8"/>
    <n v="-3.6559072214004118E-8"/>
    <n v="-6.356287940434413E-9"/>
    <m/>
    <m/>
    <m/>
    <m/>
    <m/>
    <m/>
    <m/>
    <x v="2"/>
    <x v="6"/>
    <m/>
  </r>
  <r>
    <m/>
    <m/>
    <n v="205763.71000000037"/>
    <n v="-352042.77999998024"/>
    <n v="-9446436.2499999665"/>
    <n v="-9841962.6800000425"/>
    <n v="-9379007.5600000154"/>
    <m/>
    <m/>
    <m/>
    <m/>
    <m/>
    <m/>
    <m/>
    <x v="2"/>
    <x v="6"/>
    <m/>
  </r>
  <r>
    <m/>
    <m/>
    <m/>
    <n v="-557806.48999998067"/>
    <n v="-9094393.4699999858"/>
    <n v="-395526.43000007607"/>
    <n v="462955.12000002712"/>
    <m/>
    <m/>
    <m/>
    <m/>
    <m/>
    <m/>
    <m/>
    <x v="2"/>
    <x v="6"/>
    <m/>
  </r>
  <r>
    <m/>
    <m/>
    <m/>
    <m/>
    <m/>
    <m/>
    <m/>
    <m/>
    <m/>
    <m/>
    <m/>
    <m/>
    <m/>
    <m/>
    <x v="2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92064-FF19-45E7-A571-30B02291C61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52" firstHeaderRow="1" firstDataRow="1" firstDataCol="1"/>
  <pivotFields count="16">
    <pivotField axis="axisRow" showAll="0">
      <items count="32">
        <item x="10"/>
        <item x="12"/>
        <item x="2"/>
        <item x="3"/>
        <item x="4"/>
        <item x="15"/>
        <item x="20"/>
        <item x="11"/>
        <item x="21"/>
        <item x="6"/>
        <item x="7"/>
        <item x="8"/>
        <item x="16"/>
        <item x="1"/>
        <item x="18"/>
        <item x="19"/>
        <item x="22"/>
        <item x="23"/>
        <item x="24"/>
        <item x="25"/>
        <item x="26"/>
        <item x="27"/>
        <item x="28"/>
        <item x="29"/>
        <item x="5"/>
        <item x="13"/>
        <item x="14"/>
        <item x="17"/>
        <item x="0"/>
        <item x="30"/>
        <item x="9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2"/>
        <item x="4"/>
        <item x="3"/>
        <item x="1"/>
        <item x="5"/>
        <item x="7"/>
        <item x="8"/>
        <item x="9"/>
        <item x="6"/>
        <item h="1" x="0"/>
        <item t="default"/>
      </items>
    </pivotField>
  </pivotFields>
  <rowFields count="2">
    <field x="15"/>
    <field x="0"/>
  </rowFields>
  <rowItems count="49">
    <i>
      <x/>
    </i>
    <i r="1">
      <x v="2"/>
    </i>
    <i r="1">
      <x v="3"/>
    </i>
    <i r="1">
      <x v="4"/>
    </i>
    <i r="1">
      <x v="9"/>
    </i>
    <i r="1">
      <x v="10"/>
    </i>
    <i r="1">
      <x v="13"/>
    </i>
    <i>
      <x v="1"/>
    </i>
    <i r="1">
      <x v="5"/>
    </i>
    <i r="1">
      <x v="6"/>
    </i>
    <i r="1">
      <x v="8"/>
    </i>
    <i r="1">
      <x v="11"/>
    </i>
    <i r="1">
      <x v="12"/>
    </i>
    <i r="1">
      <x v="14"/>
    </i>
    <i r="1">
      <x v="15"/>
    </i>
    <i r="1">
      <x v="17"/>
    </i>
    <i r="1">
      <x v="18"/>
    </i>
    <i r="1">
      <x v="23"/>
    </i>
    <i>
      <x v="2"/>
    </i>
    <i r="1">
      <x v="3"/>
    </i>
    <i r="1">
      <x v="4"/>
    </i>
    <i r="1">
      <x v="13"/>
    </i>
    <i r="1">
      <x v="24"/>
    </i>
    <i r="1">
      <x v="25"/>
    </i>
    <i r="1">
      <x v="26"/>
    </i>
    <i>
      <x v="3"/>
    </i>
    <i r="1">
      <x v="13"/>
    </i>
    <i r="1">
      <x v="16"/>
    </i>
    <i r="1">
      <x v="19"/>
    </i>
    <i r="1">
      <x v="27"/>
    </i>
    <i r="1">
      <x v="29"/>
    </i>
    <i r="1">
      <x v="30"/>
    </i>
    <i>
      <x v="4"/>
    </i>
    <i r="1">
      <x/>
    </i>
    <i r="1">
      <x v="1"/>
    </i>
    <i r="1">
      <x v="7"/>
    </i>
    <i>
      <x v="5"/>
    </i>
    <i r="1">
      <x v="16"/>
    </i>
    <i r="1">
      <x v="22"/>
    </i>
    <i>
      <x v="6"/>
    </i>
    <i r="1">
      <x v="19"/>
    </i>
    <i>
      <x v="7"/>
    </i>
    <i r="1">
      <x v="13"/>
    </i>
    <i r="1">
      <x v="20"/>
    </i>
    <i r="1">
      <x v="21"/>
    </i>
    <i r="1">
      <x v="22"/>
    </i>
    <i>
      <x v="8"/>
    </i>
    <i r="1">
      <x v="27"/>
    </i>
    <i t="grand">
      <x/>
    </i>
  </rowItems>
  <colItems count="1">
    <i/>
  </colItems>
  <dataFields count="1">
    <dataField name="Sum of Feb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3A8894-570D-44E3-9DE1-376367997462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17"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sd="0" x="0"/>
        <item sd="0" x="1"/>
        <item sd="0" x="3"/>
        <item sd="0" x="4"/>
        <item sd="0" x="2"/>
        <item t="default"/>
      </items>
    </pivotField>
    <pivotField axis="axisRow" showAll="0">
      <items count="18">
        <item m="1" x="16"/>
        <item x="4"/>
        <item x="5"/>
        <item x="9"/>
        <item x="0"/>
        <item x="2"/>
        <item x="3"/>
        <item x="10"/>
        <item x="12"/>
        <item x="8"/>
        <item x="11"/>
        <item x="6"/>
        <item x="7"/>
        <item x="13"/>
        <item x="14"/>
        <item x="15"/>
        <item x="1"/>
        <item t="default"/>
      </items>
    </pivotField>
    <pivotField showAll="0"/>
  </pivotFields>
  <rowFields count="2">
    <field x="14"/>
    <field x="1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Feb" fld="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2"/>
  <sheetViews>
    <sheetView workbookViewId="0">
      <selection activeCell="F32" sqref="F32"/>
    </sheetView>
  </sheetViews>
  <sheetFormatPr defaultColWidth="8" defaultRowHeight="12.75" outlineLevelCol="1" x14ac:dyDescent="0.2"/>
  <cols>
    <col min="1" max="1" width="33.25" style="2" bestFit="1" customWidth="1"/>
    <col min="2" max="2" width="14.5" style="5" customWidth="1" outlineLevel="1"/>
    <col min="3" max="3" width="11" style="6" customWidth="1" outlineLevel="1"/>
    <col min="4" max="4" width="10.875" style="6" customWidth="1" outlineLevel="1"/>
    <col min="5" max="5" width="10.375" style="6" customWidth="1" outlineLevel="1"/>
    <col min="6" max="6" width="10.5" style="6" customWidth="1" outlineLevel="1"/>
    <col min="7" max="7" width="10.875" style="6" customWidth="1" outlineLevel="1"/>
    <col min="8" max="9" width="10.5" style="6" customWidth="1" outlineLevel="1"/>
    <col min="10" max="10" width="11.375" style="6" customWidth="1" outlineLevel="1"/>
    <col min="11" max="11" width="10.75" style="6" customWidth="1" outlineLevel="1"/>
    <col min="12" max="12" width="10.875" style="6" customWidth="1" outlineLevel="1"/>
    <col min="13" max="13" width="10.5" style="6" customWidth="1" outlineLevel="1"/>
    <col min="14" max="14" width="10.625" style="6" customWidth="1"/>
    <col min="15" max="15" width="3.125" style="2" customWidth="1"/>
    <col min="16" max="16" width="8.875" style="122" bestFit="1" customWidth="1"/>
    <col min="17" max="17" width="9.625" style="122" bestFit="1" customWidth="1"/>
    <col min="18" max="23" width="8.125" style="121" bestFit="1" customWidth="1"/>
    <col min="24" max="24" width="7.625" style="121" bestFit="1" customWidth="1"/>
    <col min="25" max="27" width="8.375" style="121" bestFit="1" customWidth="1"/>
    <col min="28" max="16384" width="8" style="2"/>
  </cols>
  <sheetData>
    <row r="1" spans="1:27" ht="24.75" customHeight="1" x14ac:dyDescent="0.2">
      <c r="A1" s="1" t="s">
        <v>0</v>
      </c>
      <c r="B1" s="91" t="s">
        <v>96</v>
      </c>
      <c r="C1" s="89" t="s">
        <v>97</v>
      </c>
      <c r="D1" s="89" t="s">
        <v>98</v>
      </c>
      <c r="E1" s="89" t="s">
        <v>99</v>
      </c>
      <c r="F1" s="89" t="s">
        <v>5</v>
      </c>
      <c r="G1" s="89" t="s">
        <v>100</v>
      </c>
      <c r="H1" s="89" t="s">
        <v>101</v>
      </c>
      <c r="I1" s="89" t="s">
        <v>102</v>
      </c>
      <c r="J1" s="89" t="s">
        <v>103</v>
      </c>
      <c r="K1" s="89" t="s">
        <v>104</v>
      </c>
      <c r="L1" s="89" t="s">
        <v>105</v>
      </c>
      <c r="M1" s="89" t="s">
        <v>106</v>
      </c>
      <c r="N1" s="90" t="s">
        <v>13</v>
      </c>
      <c r="P1" s="221" t="s">
        <v>96</v>
      </c>
      <c r="Q1" s="221" t="s">
        <v>97</v>
      </c>
      <c r="R1" s="221" t="s">
        <v>98</v>
      </c>
      <c r="S1" s="221" t="s">
        <v>99</v>
      </c>
      <c r="T1" s="221" t="s">
        <v>5</v>
      </c>
      <c r="U1" s="221" t="s">
        <v>100</v>
      </c>
      <c r="V1" s="221" t="s">
        <v>101</v>
      </c>
      <c r="W1" s="221" t="s">
        <v>102</v>
      </c>
      <c r="X1" s="221" t="s">
        <v>103</v>
      </c>
      <c r="Y1" s="221" t="s">
        <v>104</v>
      </c>
      <c r="Z1" s="221" t="s">
        <v>105</v>
      </c>
      <c r="AA1" s="221" t="s">
        <v>106</v>
      </c>
    </row>
    <row r="2" spans="1:27" s="4" customFormat="1" x14ac:dyDescent="0.2">
      <c r="A2" s="3" t="s">
        <v>980</v>
      </c>
      <c r="B2" s="126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spans="1:27" x14ac:dyDescent="0.2"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1:27" s="7" customFormat="1" x14ac:dyDescent="0.2">
      <c r="B4" s="8" t="s">
        <v>14</v>
      </c>
      <c r="C4" s="8" t="s">
        <v>14</v>
      </c>
      <c r="D4" s="8" t="s">
        <v>14</v>
      </c>
      <c r="E4" s="8" t="s">
        <v>14</v>
      </c>
      <c r="F4" s="8" t="s">
        <v>14</v>
      </c>
      <c r="G4" s="8" t="s">
        <v>14</v>
      </c>
      <c r="H4" s="8" t="s">
        <v>14</v>
      </c>
      <c r="I4" s="8" t="s">
        <v>14</v>
      </c>
      <c r="J4" s="8" t="s">
        <v>14</v>
      </c>
      <c r="K4" s="8" t="s">
        <v>14</v>
      </c>
      <c r="L4" s="8" t="s">
        <v>14</v>
      </c>
      <c r="M4" s="8" t="s">
        <v>14</v>
      </c>
      <c r="N4" s="8" t="s">
        <v>14</v>
      </c>
      <c r="P4" s="105" t="s">
        <v>14</v>
      </c>
      <c r="Q4" s="105" t="s">
        <v>14</v>
      </c>
      <c r="R4" s="105" t="s">
        <v>14</v>
      </c>
      <c r="S4" s="105" t="s">
        <v>14</v>
      </c>
      <c r="T4" s="105" t="s">
        <v>14</v>
      </c>
      <c r="U4" s="105" t="s">
        <v>14</v>
      </c>
      <c r="V4" s="105" t="s">
        <v>14</v>
      </c>
      <c r="W4" s="105" t="s">
        <v>14</v>
      </c>
      <c r="X4" s="105" t="s">
        <v>14</v>
      </c>
      <c r="Y4" s="105" t="s">
        <v>14</v>
      </c>
      <c r="Z4" s="105" t="s">
        <v>14</v>
      </c>
      <c r="AA4" s="105" t="s">
        <v>14</v>
      </c>
    </row>
    <row r="5" spans="1:27" s="7" customFormat="1" x14ac:dyDescent="0.2">
      <c r="A5" s="7" t="s">
        <v>15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P5" s="105"/>
      <c r="Q5" s="105"/>
      <c r="R5" s="106"/>
      <c r="S5" s="106"/>
      <c r="T5" s="106"/>
      <c r="U5" s="106"/>
      <c r="V5" s="106"/>
      <c r="W5" s="106"/>
      <c r="X5" s="106"/>
      <c r="Y5" s="106"/>
      <c r="Z5" s="106"/>
      <c r="AA5" s="106"/>
    </row>
    <row r="6" spans="1:27" x14ac:dyDescent="0.2">
      <c r="A6" s="10" t="s">
        <v>16</v>
      </c>
      <c r="B6" s="11">
        <v>13389.522835391059</v>
      </c>
      <c r="C6" s="11">
        <v>13339.164112577444</v>
      </c>
      <c r="D6" s="11">
        <v>12939.75261495262</v>
      </c>
      <c r="E6" s="11">
        <v>13566.314527905422</v>
      </c>
      <c r="F6" s="11">
        <v>13290.625560798251</v>
      </c>
      <c r="G6" s="11">
        <v>12805.428655946311</v>
      </c>
      <c r="H6" s="11">
        <v>12192.722470939414</v>
      </c>
      <c r="I6" s="11">
        <v>9120.9744356226474</v>
      </c>
      <c r="J6" s="11">
        <v>13229.352351634803</v>
      </c>
      <c r="K6" s="11">
        <v>14596.650745667495</v>
      </c>
      <c r="L6" s="11">
        <v>13238.286336591274</v>
      </c>
      <c r="M6" s="11">
        <v>8909.3047183747331</v>
      </c>
      <c r="N6" s="9">
        <f>SUM(B6:M6)</f>
        <v>150618.09936640147</v>
      </c>
      <c r="P6" s="107">
        <f>B6</f>
        <v>13389.522835391059</v>
      </c>
      <c r="Q6" s="107">
        <f>P6+C6</f>
        <v>26728.686947968505</v>
      </c>
      <c r="R6" s="107">
        <f>Q6+D6</f>
        <v>39668.439562921121</v>
      </c>
      <c r="S6" s="107">
        <f t="shared" ref="R6:AA19" si="0">R6+E6</f>
        <v>53234.754090826544</v>
      </c>
      <c r="T6" s="107">
        <f t="shared" si="0"/>
        <v>66525.379651624797</v>
      </c>
      <c r="U6" s="107">
        <f t="shared" si="0"/>
        <v>79330.808307571104</v>
      </c>
      <c r="V6" s="107">
        <f t="shared" si="0"/>
        <v>91523.530778510525</v>
      </c>
      <c r="W6" s="107">
        <f t="shared" si="0"/>
        <v>100644.50521413317</v>
      </c>
      <c r="X6" s="107">
        <f t="shared" si="0"/>
        <v>113873.85756576798</v>
      </c>
      <c r="Y6" s="107">
        <f t="shared" si="0"/>
        <v>128470.50831143546</v>
      </c>
      <c r="Z6" s="107">
        <f t="shared" si="0"/>
        <v>141708.79464802673</v>
      </c>
      <c r="AA6" s="107">
        <f t="shared" si="0"/>
        <v>150618.09936640147</v>
      </c>
    </row>
    <row r="7" spans="1:27" x14ac:dyDescent="0.2">
      <c r="A7" s="10" t="s">
        <v>17</v>
      </c>
      <c r="B7" s="13">
        <v>634.92990206876561</v>
      </c>
      <c r="C7" s="13">
        <v>616.98910701363252</v>
      </c>
      <c r="D7" s="13">
        <v>590.07791443093242</v>
      </c>
      <c r="E7" s="13">
        <v>616.98910701363252</v>
      </c>
      <c r="F7" s="13">
        <v>616.98910701363252</v>
      </c>
      <c r="G7" s="13">
        <v>599.0483119584992</v>
      </c>
      <c r="H7" s="13">
        <v>581.10751690336576</v>
      </c>
      <c r="I7" s="13">
        <v>437.58115646229936</v>
      </c>
      <c r="J7" s="13">
        <v>616.98910701363252</v>
      </c>
      <c r="K7" s="13">
        <v>670.81149217903237</v>
      </c>
      <c r="L7" s="13">
        <v>625.95950454119918</v>
      </c>
      <c r="M7" s="13">
        <v>437.58115646229936</v>
      </c>
      <c r="N7" s="39">
        <f t="shared" ref="N7:N59" si="1">SUM(B7:M7)</f>
        <v>7045.0533830609229</v>
      </c>
      <c r="P7" s="108">
        <f>B7</f>
        <v>634.92990206876561</v>
      </c>
      <c r="Q7" s="108">
        <f t="shared" ref="Q7:AA53" si="2">P7+C7</f>
        <v>1251.9190090823981</v>
      </c>
      <c r="R7" s="108">
        <f t="shared" si="0"/>
        <v>1841.9969235133306</v>
      </c>
      <c r="S7" s="108">
        <f t="shared" si="0"/>
        <v>2458.9860305269631</v>
      </c>
      <c r="T7" s="108">
        <f t="shared" si="0"/>
        <v>3075.9751375405958</v>
      </c>
      <c r="U7" s="108">
        <f t="shared" si="0"/>
        <v>3675.023449499095</v>
      </c>
      <c r="V7" s="108">
        <f t="shared" si="0"/>
        <v>4256.1309664024611</v>
      </c>
      <c r="W7" s="108">
        <f t="shared" si="0"/>
        <v>4693.7121228647602</v>
      </c>
      <c r="X7" s="108">
        <f t="shared" si="0"/>
        <v>5310.701229878393</v>
      </c>
      <c r="Y7" s="108">
        <f t="shared" si="0"/>
        <v>5981.512722057425</v>
      </c>
      <c r="Z7" s="108">
        <f t="shared" si="0"/>
        <v>6607.4722265986238</v>
      </c>
      <c r="AA7" s="108">
        <f t="shared" si="0"/>
        <v>7045.0533830609229</v>
      </c>
    </row>
    <row r="8" spans="1:27" x14ac:dyDescent="0.2">
      <c r="A8" s="10" t="s">
        <v>18</v>
      </c>
      <c r="B8" s="14">
        <v>74.271591117872603</v>
      </c>
      <c r="C8" s="14">
        <v>74.111477366632712</v>
      </c>
      <c r="D8" s="14">
        <v>71.96045360068689</v>
      </c>
      <c r="E8" s="14">
        <v>75.451664817067766</v>
      </c>
      <c r="F8" s="14">
        <v>73.825099911135482</v>
      </c>
      <c r="G8" s="14">
        <v>71.09944088586947</v>
      </c>
      <c r="H8" s="14">
        <v>67.621477107689188</v>
      </c>
      <c r="I8" s="14">
        <v>50.594185406203643</v>
      </c>
      <c r="J8" s="14">
        <v>73.463587977071114</v>
      </c>
      <c r="K8" s="14">
        <v>81.119640361782729</v>
      </c>
      <c r="L8" s="14">
        <v>73.44779713163409</v>
      </c>
      <c r="M8" s="14">
        <v>49.345334074440949</v>
      </c>
      <c r="N8" s="186">
        <f t="shared" si="1"/>
        <v>836.31174975808653</v>
      </c>
      <c r="P8" s="109">
        <f>B8</f>
        <v>74.271591117872603</v>
      </c>
      <c r="Q8" s="109">
        <f t="shared" si="2"/>
        <v>148.38306848450532</v>
      </c>
      <c r="R8" s="109">
        <f t="shared" si="0"/>
        <v>220.34352208519221</v>
      </c>
      <c r="S8" s="109">
        <f t="shared" si="0"/>
        <v>295.79518690225996</v>
      </c>
      <c r="T8" s="109">
        <f t="shared" si="0"/>
        <v>369.62028681339541</v>
      </c>
      <c r="U8" s="109">
        <f t="shared" si="0"/>
        <v>440.71972769926487</v>
      </c>
      <c r="V8" s="109">
        <f t="shared" si="0"/>
        <v>508.34120480695407</v>
      </c>
      <c r="W8" s="109">
        <f t="shared" si="0"/>
        <v>558.93539021315769</v>
      </c>
      <c r="X8" s="109">
        <f t="shared" si="0"/>
        <v>632.39897819022883</v>
      </c>
      <c r="Y8" s="109">
        <f t="shared" si="0"/>
        <v>713.5186185520115</v>
      </c>
      <c r="Z8" s="109">
        <f t="shared" si="0"/>
        <v>786.96641568364555</v>
      </c>
      <c r="AA8" s="109">
        <f t="shared" si="0"/>
        <v>836.31174975808653</v>
      </c>
    </row>
    <row r="9" spans="1:27" x14ac:dyDescent="0.2">
      <c r="A9" s="16" t="s">
        <v>19</v>
      </c>
      <c r="B9" s="17">
        <f>SUM(B6:B8)</f>
        <v>14098.724328577697</v>
      </c>
      <c r="C9" s="17">
        <f t="shared" ref="C9:M9" si="3">SUM(C6:C8)</f>
        <v>14030.264696957709</v>
      </c>
      <c r="D9" s="17">
        <f t="shared" si="3"/>
        <v>13601.790982984239</v>
      </c>
      <c r="E9" s="17">
        <f t="shared" si="3"/>
        <v>14258.755299736124</v>
      </c>
      <c r="F9" s="17">
        <f t="shared" si="3"/>
        <v>13981.439767723019</v>
      </c>
      <c r="G9" s="17">
        <f t="shared" si="3"/>
        <v>13475.576408790679</v>
      </c>
      <c r="H9" s="17">
        <f t="shared" si="3"/>
        <v>12841.451464950469</v>
      </c>
      <c r="I9" s="17">
        <f t="shared" si="3"/>
        <v>9609.1497774911513</v>
      </c>
      <c r="J9" s="17">
        <f t="shared" si="3"/>
        <v>13919.805046625506</v>
      </c>
      <c r="K9" s="17">
        <f t="shared" si="3"/>
        <v>15348.581878208312</v>
      </c>
      <c r="L9" s="17">
        <f t="shared" si="3"/>
        <v>13937.693638264107</v>
      </c>
      <c r="M9" s="17">
        <f t="shared" si="3"/>
        <v>9396.2312089114748</v>
      </c>
      <c r="N9" s="17">
        <f t="shared" si="1"/>
        <v>158499.46449922051</v>
      </c>
      <c r="P9" s="110">
        <f>B9</f>
        <v>14098.724328577697</v>
      </c>
      <c r="Q9" s="110">
        <f t="shared" si="2"/>
        <v>28128.989025535404</v>
      </c>
      <c r="R9" s="110">
        <f t="shared" si="0"/>
        <v>41730.780008519643</v>
      </c>
      <c r="S9" s="110">
        <f t="shared" si="0"/>
        <v>55989.53530825577</v>
      </c>
      <c r="T9" s="110">
        <f t="shared" si="0"/>
        <v>69970.975075978786</v>
      </c>
      <c r="U9" s="110">
        <f t="shared" si="0"/>
        <v>83446.551484769472</v>
      </c>
      <c r="V9" s="110">
        <f t="shared" si="0"/>
        <v>96288.002949719943</v>
      </c>
      <c r="W9" s="110">
        <f t="shared" si="0"/>
        <v>105897.1527272111</v>
      </c>
      <c r="X9" s="110">
        <f t="shared" si="0"/>
        <v>119816.95777383661</v>
      </c>
      <c r="Y9" s="110">
        <f t="shared" si="0"/>
        <v>135165.53965204491</v>
      </c>
      <c r="Z9" s="110">
        <f t="shared" si="0"/>
        <v>149103.23329030903</v>
      </c>
      <c r="AA9" s="110">
        <f t="shared" si="0"/>
        <v>158499.46449922051</v>
      </c>
    </row>
    <row r="10" spans="1:27" s="19" customFormat="1" ht="12" x14ac:dyDescent="0.2">
      <c r="A10" s="18" t="s">
        <v>20</v>
      </c>
      <c r="B10" s="92">
        <v>779.68932119015449</v>
      </c>
      <c r="C10" s="92">
        <v>799.06465282595229</v>
      </c>
      <c r="D10" s="92">
        <v>810.97409314099184</v>
      </c>
      <c r="E10" s="92">
        <v>812.07786163752348</v>
      </c>
      <c r="F10" s="92">
        <v>796.28393015458107</v>
      </c>
      <c r="G10" s="92">
        <v>791.08810095548029</v>
      </c>
      <c r="H10" s="92">
        <v>777.79370360244639</v>
      </c>
      <c r="I10" s="92">
        <v>780.14973039127165</v>
      </c>
      <c r="J10" s="92">
        <v>792.77365233163403</v>
      </c>
      <c r="K10" s="92">
        <v>802.29900410698826</v>
      </c>
      <c r="L10" s="92">
        <v>782.11904147092378</v>
      </c>
      <c r="M10" s="92">
        <v>762.8632515956316</v>
      </c>
      <c r="N10" s="187">
        <f t="shared" si="1"/>
        <v>9487.176343403582</v>
      </c>
      <c r="P10" s="111">
        <f>B10</f>
        <v>779.68932119015449</v>
      </c>
      <c r="Q10" s="111">
        <f t="shared" ref="Q10:AA10" si="4">C10</f>
        <v>799.06465282595229</v>
      </c>
      <c r="R10" s="111">
        <f t="shared" si="4"/>
        <v>810.97409314099184</v>
      </c>
      <c r="S10" s="111">
        <f t="shared" si="4"/>
        <v>812.07786163752348</v>
      </c>
      <c r="T10" s="111">
        <f t="shared" si="4"/>
        <v>796.28393015458107</v>
      </c>
      <c r="U10" s="111">
        <f t="shared" si="4"/>
        <v>791.08810095548029</v>
      </c>
      <c r="V10" s="111">
        <f t="shared" si="4"/>
        <v>777.79370360244639</v>
      </c>
      <c r="W10" s="111">
        <f t="shared" si="4"/>
        <v>780.14973039127165</v>
      </c>
      <c r="X10" s="111">
        <f t="shared" si="4"/>
        <v>792.77365233163403</v>
      </c>
      <c r="Y10" s="111">
        <f t="shared" si="4"/>
        <v>802.29900410698826</v>
      </c>
      <c r="Z10" s="111">
        <f t="shared" si="4"/>
        <v>782.11904147092378</v>
      </c>
      <c r="AA10" s="111">
        <f t="shared" si="4"/>
        <v>762.8632515956316</v>
      </c>
    </row>
    <row r="11" spans="1:27" x14ac:dyDescent="0.2">
      <c r="A11" s="10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7">
        <f t="shared" si="1"/>
        <v>0</v>
      </c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</row>
    <row r="12" spans="1:27" x14ac:dyDescent="0.2">
      <c r="A12" s="10" t="s">
        <v>21</v>
      </c>
      <c r="B12" s="11">
        <v>388.26722459289664</v>
      </c>
      <c r="C12" s="11">
        <v>377.01310214092877</v>
      </c>
      <c r="D12" s="11">
        <v>360.1319184629761</v>
      </c>
      <c r="E12" s="11">
        <v>377.01310214092877</v>
      </c>
      <c r="F12" s="11">
        <v>377.01310214092877</v>
      </c>
      <c r="G12" s="11">
        <v>365.75897968896004</v>
      </c>
      <c r="H12" s="11">
        <v>354.50485723699211</v>
      </c>
      <c r="I12" s="11">
        <v>264.47187762124815</v>
      </c>
      <c r="J12" s="11">
        <v>377.01310214092877</v>
      </c>
      <c r="K12" s="11">
        <v>410.77546949683222</v>
      </c>
      <c r="L12" s="11">
        <v>382.6401633669127</v>
      </c>
      <c r="M12" s="11">
        <v>264.47187762124815</v>
      </c>
      <c r="N12" s="9">
        <f t="shared" si="1"/>
        <v>4299.0747766517816</v>
      </c>
      <c r="P12" s="107">
        <f>B12</f>
        <v>388.26722459289664</v>
      </c>
      <c r="Q12" s="107">
        <f t="shared" si="2"/>
        <v>765.2803267338254</v>
      </c>
      <c r="R12" s="107">
        <f t="shared" si="0"/>
        <v>1125.4122451968015</v>
      </c>
      <c r="S12" s="107">
        <f t="shared" si="0"/>
        <v>1502.4253473377303</v>
      </c>
      <c r="T12" s="107">
        <f t="shared" si="0"/>
        <v>1879.4384494786591</v>
      </c>
      <c r="U12" s="107">
        <f t="shared" si="0"/>
        <v>2245.1974291676192</v>
      </c>
      <c r="V12" s="107">
        <f t="shared" si="0"/>
        <v>2599.7022864046112</v>
      </c>
      <c r="W12" s="107">
        <f t="shared" si="0"/>
        <v>2864.1741640258592</v>
      </c>
      <c r="X12" s="107">
        <f t="shared" si="0"/>
        <v>3241.187266166788</v>
      </c>
      <c r="Y12" s="107">
        <f t="shared" si="0"/>
        <v>3651.9627356636202</v>
      </c>
      <c r="Z12" s="107">
        <f t="shared" si="0"/>
        <v>4034.6028990305331</v>
      </c>
      <c r="AA12" s="107">
        <f t="shared" si="0"/>
        <v>4299.0747766517816</v>
      </c>
    </row>
    <row r="13" spans="1:27" x14ac:dyDescent="0.2">
      <c r="A13" s="10" t="s">
        <v>22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9">
        <f t="shared" si="1"/>
        <v>0</v>
      </c>
      <c r="P13" s="107">
        <f>B13</f>
        <v>0</v>
      </c>
      <c r="Q13" s="107">
        <f t="shared" si="2"/>
        <v>0</v>
      </c>
      <c r="R13" s="107">
        <f t="shared" si="0"/>
        <v>0</v>
      </c>
      <c r="S13" s="107">
        <f t="shared" si="0"/>
        <v>0</v>
      </c>
      <c r="T13" s="107">
        <f t="shared" si="0"/>
        <v>0</v>
      </c>
      <c r="U13" s="107">
        <f t="shared" si="0"/>
        <v>0</v>
      </c>
      <c r="V13" s="107">
        <f t="shared" si="0"/>
        <v>0</v>
      </c>
      <c r="W13" s="107">
        <f t="shared" si="0"/>
        <v>0</v>
      </c>
      <c r="X13" s="107">
        <f t="shared" si="0"/>
        <v>0</v>
      </c>
      <c r="Y13" s="107">
        <f t="shared" si="0"/>
        <v>0</v>
      </c>
      <c r="Z13" s="107">
        <f t="shared" si="0"/>
        <v>0</v>
      </c>
      <c r="AA13" s="107">
        <f t="shared" si="0"/>
        <v>0</v>
      </c>
    </row>
    <row r="14" spans="1:27" x14ac:dyDescent="0.2">
      <c r="A14" s="20" t="s">
        <v>23</v>
      </c>
      <c r="B14" s="21">
        <f>+B12+B13</f>
        <v>388.26722459289664</v>
      </c>
      <c r="C14" s="21">
        <f t="shared" ref="C14:M14" si="5">+C12+C13</f>
        <v>377.01310214092877</v>
      </c>
      <c r="D14" s="21">
        <f t="shared" si="5"/>
        <v>360.1319184629761</v>
      </c>
      <c r="E14" s="21">
        <f t="shared" si="5"/>
        <v>377.01310214092877</v>
      </c>
      <c r="F14" s="21">
        <f t="shared" si="5"/>
        <v>377.01310214092877</v>
      </c>
      <c r="G14" s="21">
        <f t="shared" si="5"/>
        <v>365.75897968896004</v>
      </c>
      <c r="H14" s="21">
        <f t="shared" si="5"/>
        <v>354.50485723699211</v>
      </c>
      <c r="I14" s="21">
        <f t="shared" si="5"/>
        <v>264.47187762124815</v>
      </c>
      <c r="J14" s="21">
        <f t="shared" si="5"/>
        <v>377.01310214092877</v>
      </c>
      <c r="K14" s="21">
        <f t="shared" si="5"/>
        <v>410.77546949683222</v>
      </c>
      <c r="L14" s="21">
        <f t="shared" si="5"/>
        <v>382.6401633669127</v>
      </c>
      <c r="M14" s="21">
        <f t="shared" si="5"/>
        <v>264.47187762124815</v>
      </c>
      <c r="N14" s="21">
        <f t="shared" si="1"/>
        <v>4299.0747766517816</v>
      </c>
      <c r="P14" s="113">
        <f>B14</f>
        <v>388.26722459289664</v>
      </c>
      <c r="Q14" s="113">
        <f t="shared" si="2"/>
        <v>765.2803267338254</v>
      </c>
      <c r="R14" s="113">
        <f t="shared" si="0"/>
        <v>1125.4122451968015</v>
      </c>
      <c r="S14" s="113">
        <f t="shared" si="0"/>
        <v>1502.4253473377303</v>
      </c>
      <c r="T14" s="113">
        <f t="shared" si="0"/>
        <v>1879.4384494786591</v>
      </c>
      <c r="U14" s="113">
        <f t="shared" si="0"/>
        <v>2245.1974291676192</v>
      </c>
      <c r="V14" s="113">
        <f t="shared" si="0"/>
        <v>2599.7022864046112</v>
      </c>
      <c r="W14" s="113">
        <f t="shared" si="0"/>
        <v>2864.1741640258592</v>
      </c>
      <c r="X14" s="113">
        <f t="shared" si="0"/>
        <v>3241.187266166788</v>
      </c>
      <c r="Y14" s="113">
        <f t="shared" si="0"/>
        <v>3651.9627356636202</v>
      </c>
      <c r="Z14" s="113">
        <f t="shared" si="0"/>
        <v>4034.6028990305331</v>
      </c>
      <c r="AA14" s="113">
        <f t="shared" si="0"/>
        <v>4299.0747766517816</v>
      </c>
    </row>
    <row r="15" spans="1:27" x14ac:dyDescent="0.2">
      <c r="A15" s="1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9">
        <f t="shared" si="1"/>
        <v>0</v>
      </c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</row>
    <row r="16" spans="1:27" x14ac:dyDescent="0.2">
      <c r="A16" s="30" t="s">
        <v>24</v>
      </c>
      <c r="B16" s="225">
        <f>+B14+B9</f>
        <v>14486.991553170594</v>
      </c>
      <c r="C16" s="225">
        <f t="shared" ref="C16:M16" si="6">+C14+C9</f>
        <v>14407.277799098638</v>
      </c>
      <c r="D16" s="225">
        <f t="shared" si="6"/>
        <v>13961.922901447215</v>
      </c>
      <c r="E16" s="225">
        <f t="shared" si="6"/>
        <v>14635.768401877052</v>
      </c>
      <c r="F16" s="225">
        <f t="shared" si="6"/>
        <v>14358.452869863948</v>
      </c>
      <c r="G16" s="225">
        <f t="shared" si="6"/>
        <v>13841.33538847964</v>
      </c>
      <c r="H16" s="225">
        <f t="shared" si="6"/>
        <v>13195.956322187461</v>
      </c>
      <c r="I16" s="225">
        <f t="shared" si="6"/>
        <v>9873.6216551123998</v>
      </c>
      <c r="J16" s="225">
        <f t="shared" si="6"/>
        <v>14296.818148766435</v>
      </c>
      <c r="K16" s="225">
        <f t="shared" si="6"/>
        <v>15759.357347705143</v>
      </c>
      <c r="L16" s="225">
        <f t="shared" si="6"/>
        <v>14320.333801631019</v>
      </c>
      <c r="M16" s="225">
        <f t="shared" si="6"/>
        <v>9660.7030865327233</v>
      </c>
      <c r="N16" s="22">
        <f t="shared" si="1"/>
        <v>162798.53927587226</v>
      </c>
      <c r="P16" s="241">
        <f>B16</f>
        <v>14486.991553170594</v>
      </c>
      <c r="Q16" s="241">
        <f t="shared" si="2"/>
        <v>28894.269352269232</v>
      </c>
      <c r="R16" s="241">
        <f t="shared" si="0"/>
        <v>42856.19225371645</v>
      </c>
      <c r="S16" s="241">
        <f t="shared" si="0"/>
        <v>57491.960655593502</v>
      </c>
      <c r="T16" s="241">
        <f t="shared" si="0"/>
        <v>71850.41352545745</v>
      </c>
      <c r="U16" s="241">
        <f t="shared" si="0"/>
        <v>85691.748913937088</v>
      </c>
      <c r="V16" s="241">
        <f t="shared" si="0"/>
        <v>98887.705236124544</v>
      </c>
      <c r="W16" s="241">
        <f t="shared" si="0"/>
        <v>108761.32689123694</v>
      </c>
      <c r="X16" s="241">
        <f t="shared" si="0"/>
        <v>123058.14504000338</v>
      </c>
      <c r="Y16" s="241">
        <f t="shared" si="0"/>
        <v>138817.50238770852</v>
      </c>
      <c r="Z16" s="241">
        <f t="shared" si="0"/>
        <v>153137.83618933955</v>
      </c>
      <c r="AA16" s="241">
        <f t="shared" si="0"/>
        <v>162798.53927587226</v>
      </c>
    </row>
    <row r="17" spans="1:27" x14ac:dyDescent="0.2">
      <c r="A17" s="2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f t="shared" si="1"/>
        <v>0</v>
      </c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</row>
    <row r="18" spans="1:27" x14ac:dyDescent="0.2">
      <c r="A18" s="16" t="s">
        <v>25</v>
      </c>
      <c r="B18" s="13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24">
        <f t="shared" si="1"/>
        <v>0</v>
      </c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</row>
    <row r="19" spans="1:27" x14ac:dyDescent="0.2">
      <c r="A19" s="10" t="s">
        <v>26</v>
      </c>
      <c r="B19" s="13">
        <v>10217.245554940053</v>
      </c>
      <c r="C19" s="13">
        <v>9921.093509869328</v>
      </c>
      <c r="D19" s="13">
        <v>9476.8654422632371</v>
      </c>
      <c r="E19" s="13">
        <v>10257.391526270638</v>
      </c>
      <c r="F19" s="13">
        <v>10190.8297516446</v>
      </c>
      <c r="G19" s="13">
        <v>9852.0322056144869</v>
      </c>
      <c r="H19" s="13">
        <v>9507.7805889542924</v>
      </c>
      <c r="I19" s="13">
        <v>7070.9509970323898</v>
      </c>
      <c r="J19" s="13">
        <v>10048.962633842142</v>
      </c>
      <c r="K19" s="13">
        <v>10880.431177606924</v>
      </c>
      <c r="L19" s="13">
        <v>10108.656609247893</v>
      </c>
      <c r="M19" s="13">
        <v>6968.9985357684545</v>
      </c>
      <c r="N19" s="39">
        <f t="shared" si="1"/>
        <v>114501.23853305441</v>
      </c>
      <c r="O19" s="25"/>
      <c r="P19" s="108">
        <f>B19</f>
        <v>10217.245554940053</v>
      </c>
      <c r="Q19" s="108">
        <f t="shared" si="2"/>
        <v>20138.339064809381</v>
      </c>
      <c r="R19" s="108">
        <f t="shared" si="0"/>
        <v>29615.204507072616</v>
      </c>
      <c r="S19" s="108">
        <f t="shared" si="0"/>
        <v>39872.596033343252</v>
      </c>
      <c r="T19" s="108">
        <f t="shared" si="0"/>
        <v>50063.425784987849</v>
      </c>
      <c r="U19" s="108">
        <f t="shared" si="0"/>
        <v>59915.457990602335</v>
      </c>
      <c r="V19" s="108">
        <f t="shared" si="0"/>
        <v>69423.238579556622</v>
      </c>
      <c r="W19" s="108">
        <f t="shared" si="0"/>
        <v>76494.189576589008</v>
      </c>
      <c r="X19" s="108">
        <f t="shared" si="0"/>
        <v>86543.152210431144</v>
      </c>
      <c r="Y19" s="108">
        <f t="shared" si="0"/>
        <v>97423.583388038067</v>
      </c>
      <c r="Z19" s="108">
        <f t="shared" si="0"/>
        <v>107532.23999728596</v>
      </c>
      <c r="AA19" s="108">
        <f t="shared" si="0"/>
        <v>114501.23853305441</v>
      </c>
    </row>
    <row r="20" spans="1:27" s="19" customFormat="1" ht="12" x14ac:dyDescent="0.2">
      <c r="A20" s="18" t="s">
        <v>27</v>
      </c>
      <c r="B20" s="26">
        <v>523.18085438522053</v>
      </c>
      <c r="C20" s="26">
        <v>523.18085438522053</v>
      </c>
      <c r="D20" s="26">
        <v>523.18085438522053</v>
      </c>
      <c r="E20" s="26">
        <v>540.91525870001362</v>
      </c>
      <c r="F20" s="26">
        <v>537.40517726759845</v>
      </c>
      <c r="G20" s="26">
        <v>535.52477650023297</v>
      </c>
      <c r="H20" s="26">
        <v>533.21910786377521</v>
      </c>
      <c r="I20" s="26">
        <v>531.55361004125166</v>
      </c>
      <c r="J20" s="26">
        <v>529.92392937620184</v>
      </c>
      <c r="K20" s="26">
        <v>526.61151171733763</v>
      </c>
      <c r="L20" s="26">
        <v>525.23255115460324</v>
      </c>
      <c r="M20" s="26">
        <v>523.88940774934213</v>
      </c>
      <c r="N20" s="188">
        <f t="shared" si="1"/>
        <v>6353.8178935260194</v>
      </c>
      <c r="O20" s="27"/>
      <c r="P20" s="115">
        <f>B20</f>
        <v>523.18085438522053</v>
      </c>
      <c r="Q20" s="115">
        <f t="shared" ref="Q20:AA20" si="7">C20</f>
        <v>523.18085438522053</v>
      </c>
      <c r="R20" s="115">
        <f t="shared" si="7"/>
        <v>523.18085438522053</v>
      </c>
      <c r="S20" s="115">
        <f t="shared" si="7"/>
        <v>540.91525870001362</v>
      </c>
      <c r="T20" s="115">
        <f t="shared" si="7"/>
        <v>537.40517726759845</v>
      </c>
      <c r="U20" s="115">
        <f t="shared" si="7"/>
        <v>535.52477650023297</v>
      </c>
      <c r="V20" s="115">
        <f t="shared" si="7"/>
        <v>533.21910786377521</v>
      </c>
      <c r="W20" s="115">
        <f t="shared" si="7"/>
        <v>531.55361004125166</v>
      </c>
      <c r="X20" s="115">
        <f t="shared" si="7"/>
        <v>529.92392937620184</v>
      </c>
      <c r="Y20" s="115">
        <f t="shared" si="7"/>
        <v>526.61151171733763</v>
      </c>
      <c r="Z20" s="115">
        <f t="shared" si="7"/>
        <v>525.23255115460324</v>
      </c>
      <c r="AA20" s="115">
        <f t="shared" si="7"/>
        <v>523.88940774934213</v>
      </c>
    </row>
    <row r="21" spans="1:27" s="19" customFormat="1" ht="12" x14ac:dyDescent="0.2">
      <c r="A21" s="29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189">
        <f t="shared" si="1"/>
        <v>0</v>
      </c>
      <c r="O21" s="27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</row>
    <row r="22" spans="1:27" x14ac:dyDescent="0.2">
      <c r="A22" s="10" t="s">
        <v>28</v>
      </c>
      <c r="B22" s="13">
        <v>313.12937238202051</v>
      </c>
      <c r="C22" s="13">
        <v>300.0084133003428</v>
      </c>
      <c r="D22" s="13">
        <v>300.0084133003428</v>
      </c>
      <c r="E22" s="13">
        <v>306.56889284118159</v>
      </c>
      <c r="F22" s="13">
        <v>313.12937238202051</v>
      </c>
      <c r="G22" s="13">
        <v>296.58867407473633</v>
      </c>
      <c r="H22" s="13">
        <v>290.30719344427149</v>
      </c>
      <c r="I22" s="13">
        <v>306.56889284118159</v>
      </c>
      <c r="J22" s="13">
        <v>300.0084133003428</v>
      </c>
      <c r="K22" s="13">
        <v>313.12937238202051</v>
      </c>
      <c r="L22" s="13">
        <v>303.14915361557524</v>
      </c>
      <c r="M22" s="13">
        <v>300.28741221071681</v>
      </c>
      <c r="N22" s="39">
        <f t="shared" si="1"/>
        <v>3642.8835760747529</v>
      </c>
      <c r="P22" s="108">
        <f t="shared" ref="P22:P31" si="8">B22</f>
        <v>313.12937238202051</v>
      </c>
      <c r="Q22" s="108">
        <f t="shared" si="2"/>
        <v>613.1377856823633</v>
      </c>
      <c r="R22" s="108">
        <f t="shared" si="2"/>
        <v>913.1461989827061</v>
      </c>
      <c r="S22" s="108">
        <f t="shared" si="2"/>
        <v>1219.7150918238876</v>
      </c>
      <c r="T22" s="108">
        <f t="shared" si="2"/>
        <v>1532.844464205908</v>
      </c>
      <c r="U22" s="108">
        <f t="shared" si="2"/>
        <v>1829.4331382806445</v>
      </c>
      <c r="V22" s="108">
        <f t="shared" si="2"/>
        <v>2119.7403317249159</v>
      </c>
      <c r="W22" s="108">
        <f t="shared" si="2"/>
        <v>2426.3092245660973</v>
      </c>
      <c r="X22" s="108">
        <f t="shared" si="2"/>
        <v>2726.3176378664402</v>
      </c>
      <c r="Y22" s="108">
        <f t="shared" si="2"/>
        <v>3039.4470102484606</v>
      </c>
      <c r="Z22" s="108">
        <f t="shared" si="2"/>
        <v>3342.596163864036</v>
      </c>
      <c r="AA22" s="108">
        <f t="shared" si="2"/>
        <v>3642.8835760747529</v>
      </c>
    </row>
    <row r="23" spans="1:27" x14ac:dyDescent="0.2">
      <c r="A23" s="10" t="s">
        <v>29</v>
      </c>
      <c r="B23" s="13">
        <v>760.52183455449949</v>
      </c>
      <c r="C23" s="13">
        <v>737.04137130378956</v>
      </c>
      <c r="D23" s="13">
        <v>708.38219971772423</v>
      </c>
      <c r="E23" s="13">
        <v>644.62699964641445</v>
      </c>
      <c r="F23" s="13">
        <v>645.93932964641454</v>
      </c>
      <c r="G23" s="13">
        <v>626.56900838547665</v>
      </c>
      <c r="H23" s="13">
        <v>609.82299631953867</v>
      </c>
      <c r="I23" s="13">
        <v>481.62335408804955</v>
      </c>
      <c r="J23" s="13">
        <v>644.62699964641445</v>
      </c>
      <c r="K23" s="13">
        <v>802.23379186091961</v>
      </c>
      <c r="L23" s="13">
        <v>748.78172963914449</v>
      </c>
      <c r="M23" s="13">
        <v>531.00339296168806</v>
      </c>
      <c r="N23" s="39">
        <f t="shared" si="1"/>
        <v>7941.1730077700731</v>
      </c>
      <c r="P23" s="108">
        <f t="shared" si="8"/>
        <v>760.52183455449949</v>
      </c>
      <c r="Q23" s="108">
        <f t="shared" si="2"/>
        <v>1497.5632058582892</v>
      </c>
      <c r="R23" s="108">
        <f t="shared" si="2"/>
        <v>2205.9454055760134</v>
      </c>
      <c r="S23" s="108">
        <f t="shared" si="2"/>
        <v>2850.5724052224277</v>
      </c>
      <c r="T23" s="108">
        <f t="shared" si="2"/>
        <v>3496.5117348688423</v>
      </c>
      <c r="U23" s="108">
        <f t="shared" si="2"/>
        <v>4123.0807432543188</v>
      </c>
      <c r="V23" s="108">
        <f t="shared" si="2"/>
        <v>4732.9037395738578</v>
      </c>
      <c r="W23" s="108">
        <f t="shared" si="2"/>
        <v>5214.5270936619072</v>
      </c>
      <c r="X23" s="108">
        <f t="shared" si="2"/>
        <v>5859.1540933083215</v>
      </c>
      <c r="Y23" s="108">
        <f t="shared" si="2"/>
        <v>6661.3878851692407</v>
      </c>
      <c r="Z23" s="108">
        <f t="shared" si="2"/>
        <v>7410.1696148083847</v>
      </c>
      <c r="AA23" s="108">
        <f t="shared" si="2"/>
        <v>7941.1730077700731</v>
      </c>
    </row>
    <row r="24" spans="1:27" x14ac:dyDescent="0.2">
      <c r="A24" s="10" t="s">
        <v>30</v>
      </c>
      <c r="B24" s="13">
        <v>105.92382038946442</v>
      </c>
      <c r="C24" s="13">
        <v>104.52087436256814</v>
      </c>
      <c r="D24" s="13">
        <v>102.41645532222371</v>
      </c>
      <c r="E24" s="13">
        <v>109.13439431128707</v>
      </c>
      <c r="F24" s="13">
        <v>104.52087436256814</v>
      </c>
      <c r="G24" s="13">
        <v>103.11792833567186</v>
      </c>
      <c r="H24" s="13">
        <v>106.32850225749451</v>
      </c>
      <c r="I24" s="13">
        <v>81.264374196167367</v>
      </c>
      <c r="J24" s="13">
        <v>109.13439431128707</v>
      </c>
      <c r="K24" s="13">
        <v>108.72971244325701</v>
      </c>
      <c r="L24" s="13">
        <v>105.22234737601632</v>
      </c>
      <c r="M24" s="13">
        <v>90.491414093605229</v>
      </c>
      <c r="N24" s="39">
        <f t="shared" si="1"/>
        <v>1230.805091761611</v>
      </c>
      <c r="P24" s="108">
        <f t="shared" si="8"/>
        <v>105.92382038946442</v>
      </c>
      <c r="Q24" s="108">
        <f t="shared" si="2"/>
        <v>210.44469475203255</v>
      </c>
      <c r="R24" s="108">
        <f t="shared" si="2"/>
        <v>312.86115007425627</v>
      </c>
      <c r="S24" s="108">
        <f t="shared" si="2"/>
        <v>421.99554438554333</v>
      </c>
      <c r="T24" s="108">
        <f t="shared" si="2"/>
        <v>526.51641874811151</v>
      </c>
      <c r="U24" s="108">
        <f t="shared" si="2"/>
        <v>629.63434708378338</v>
      </c>
      <c r="V24" s="108">
        <f t="shared" si="2"/>
        <v>735.96284934127789</v>
      </c>
      <c r="W24" s="108">
        <f t="shared" si="2"/>
        <v>817.2272235374453</v>
      </c>
      <c r="X24" s="108">
        <f t="shared" si="2"/>
        <v>926.36161784873241</v>
      </c>
      <c r="Y24" s="108">
        <f t="shared" si="2"/>
        <v>1035.0913302919894</v>
      </c>
      <c r="Z24" s="108">
        <f t="shared" si="2"/>
        <v>1140.3136776680058</v>
      </c>
      <c r="AA24" s="108">
        <f t="shared" si="2"/>
        <v>1230.805091761611</v>
      </c>
    </row>
    <row r="25" spans="1:27" x14ac:dyDescent="0.2">
      <c r="A25" s="10" t="s">
        <v>31</v>
      </c>
      <c r="B25" s="13">
        <v>35.686295870879995</v>
      </c>
      <c r="C25" s="13">
        <v>34.891317439840002</v>
      </c>
      <c r="D25" s="13">
        <v>34.175879793280004</v>
      </c>
      <c r="E25" s="13">
        <v>35.050327439840004</v>
      </c>
      <c r="F25" s="13">
        <v>35.209337439840006</v>
      </c>
      <c r="G25" s="13">
        <v>34.255349008799996</v>
      </c>
      <c r="H25" s="13">
        <v>34.255420577759999</v>
      </c>
      <c r="I25" s="13">
        <v>31.280743129440001</v>
      </c>
      <c r="J25" s="13">
        <v>34.891317439840002</v>
      </c>
      <c r="K25" s="13">
        <v>36.640212732959995</v>
      </c>
      <c r="L25" s="13">
        <v>35.129796655359996</v>
      </c>
      <c r="M25" s="13">
        <v>31.280743129440001</v>
      </c>
      <c r="N25" s="39">
        <f t="shared" si="1"/>
        <v>412.74674065727999</v>
      </c>
      <c r="P25" s="108">
        <f t="shared" si="8"/>
        <v>35.686295870879995</v>
      </c>
      <c r="Q25" s="108">
        <f t="shared" si="2"/>
        <v>70.577613310719997</v>
      </c>
      <c r="R25" s="108">
        <f t="shared" si="2"/>
        <v>104.753493104</v>
      </c>
      <c r="S25" s="108">
        <f t="shared" si="2"/>
        <v>139.80382054384</v>
      </c>
      <c r="T25" s="108">
        <f t="shared" si="2"/>
        <v>175.01315798368</v>
      </c>
      <c r="U25" s="108">
        <f t="shared" si="2"/>
        <v>209.26850699248001</v>
      </c>
      <c r="V25" s="108">
        <f t="shared" si="2"/>
        <v>243.52392757024001</v>
      </c>
      <c r="W25" s="108">
        <f t="shared" si="2"/>
        <v>274.80467069968</v>
      </c>
      <c r="X25" s="108">
        <f t="shared" si="2"/>
        <v>309.69598813952001</v>
      </c>
      <c r="Y25" s="108">
        <f t="shared" si="2"/>
        <v>346.33620087247999</v>
      </c>
      <c r="Z25" s="108">
        <f t="shared" si="2"/>
        <v>381.46599752783999</v>
      </c>
      <c r="AA25" s="108">
        <f t="shared" si="2"/>
        <v>412.74674065727999</v>
      </c>
    </row>
    <row r="26" spans="1:27" x14ac:dyDescent="0.2">
      <c r="A26" s="10" t="s">
        <v>32</v>
      </c>
      <c r="B26" s="13">
        <v>260.35362568257256</v>
      </c>
      <c r="C26" s="13">
        <v>220.25140754824736</v>
      </c>
      <c r="D26" s="13">
        <v>260.35362568257256</v>
      </c>
      <c r="E26" s="13">
        <v>246.16857996805876</v>
      </c>
      <c r="F26" s="13">
        <v>260.35362568257256</v>
      </c>
      <c r="G26" s="13">
        <v>220.25140754824736</v>
      </c>
      <c r="H26" s="13">
        <v>260.35362568257256</v>
      </c>
      <c r="I26" s="13">
        <v>989.02919797152197</v>
      </c>
      <c r="J26" s="13">
        <v>260.35362568257256</v>
      </c>
      <c r="K26" s="13">
        <v>220.25140754824736</v>
      </c>
      <c r="L26" s="13">
        <v>260.42623046167</v>
      </c>
      <c r="M26" s="13">
        <v>274.3960857326087</v>
      </c>
      <c r="N26" s="39">
        <f t="shared" si="1"/>
        <v>3732.5424451914637</v>
      </c>
      <c r="P26" s="108">
        <f t="shared" si="8"/>
        <v>260.35362568257256</v>
      </c>
      <c r="Q26" s="108">
        <f t="shared" si="2"/>
        <v>480.60503323081991</v>
      </c>
      <c r="R26" s="108">
        <f t="shared" si="2"/>
        <v>740.95865891339247</v>
      </c>
      <c r="S26" s="108">
        <f t="shared" si="2"/>
        <v>987.12723888145126</v>
      </c>
      <c r="T26" s="108">
        <f t="shared" si="2"/>
        <v>1247.4808645640237</v>
      </c>
      <c r="U26" s="108">
        <f t="shared" si="2"/>
        <v>1467.7322721122709</v>
      </c>
      <c r="V26" s="108">
        <f t="shared" si="2"/>
        <v>1728.0858977948435</v>
      </c>
      <c r="W26" s="108">
        <f t="shared" si="2"/>
        <v>2717.1150957663654</v>
      </c>
      <c r="X26" s="108">
        <f t="shared" si="2"/>
        <v>2977.4687214489377</v>
      </c>
      <c r="Y26" s="108">
        <f t="shared" si="2"/>
        <v>3197.7201289971849</v>
      </c>
      <c r="Z26" s="108">
        <f t="shared" si="2"/>
        <v>3458.1463594588549</v>
      </c>
      <c r="AA26" s="108">
        <f t="shared" si="2"/>
        <v>3732.5424451914637</v>
      </c>
    </row>
    <row r="27" spans="1:27" x14ac:dyDescent="0.2">
      <c r="A27" s="10" t="s">
        <v>281</v>
      </c>
      <c r="B27" s="13">
        <v>30.84</v>
      </c>
      <c r="C27" s="13">
        <v>30.54</v>
      </c>
      <c r="D27" s="13">
        <v>40.04</v>
      </c>
      <c r="E27" s="13">
        <v>25.74</v>
      </c>
      <c r="F27" s="13">
        <v>28.92</v>
      </c>
      <c r="G27" s="13">
        <v>28.79</v>
      </c>
      <c r="H27" s="13">
        <v>24.54</v>
      </c>
      <c r="I27" s="13">
        <v>34.64</v>
      </c>
      <c r="J27" s="13">
        <v>37.14</v>
      </c>
      <c r="K27" s="13">
        <v>25.484000000000002</v>
      </c>
      <c r="L27" s="13">
        <v>27.14</v>
      </c>
      <c r="M27" s="13">
        <v>21.34</v>
      </c>
      <c r="N27" s="39">
        <f t="shared" si="1"/>
        <v>355.15399999999988</v>
      </c>
      <c r="P27" s="108">
        <f t="shared" si="8"/>
        <v>30.84</v>
      </c>
      <c r="Q27" s="108">
        <f t="shared" si="2"/>
        <v>61.379999999999995</v>
      </c>
      <c r="R27" s="108">
        <f t="shared" si="2"/>
        <v>101.41999999999999</v>
      </c>
      <c r="S27" s="108">
        <f t="shared" si="2"/>
        <v>127.15999999999998</v>
      </c>
      <c r="T27" s="108">
        <f t="shared" si="2"/>
        <v>156.07999999999998</v>
      </c>
      <c r="U27" s="108">
        <f t="shared" si="2"/>
        <v>184.86999999999998</v>
      </c>
      <c r="V27" s="108">
        <f t="shared" si="2"/>
        <v>209.40999999999997</v>
      </c>
      <c r="W27" s="108">
        <f t="shared" si="2"/>
        <v>244.04999999999995</v>
      </c>
      <c r="X27" s="108">
        <f t="shared" si="2"/>
        <v>281.18999999999994</v>
      </c>
      <c r="Y27" s="108">
        <f t="shared" si="2"/>
        <v>306.67399999999992</v>
      </c>
      <c r="Z27" s="108">
        <f t="shared" si="2"/>
        <v>333.81399999999991</v>
      </c>
      <c r="AA27" s="108">
        <f t="shared" si="2"/>
        <v>355.15399999999988</v>
      </c>
    </row>
    <row r="28" spans="1:27" x14ac:dyDescent="0.2">
      <c r="A28" s="10" t="s">
        <v>754</v>
      </c>
      <c r="B28" s="13">
        <v>18.47697125990608</v>
      </c>
      <c r="C28" s="13">
        <v>17.941406875560979</v>
      </c>
      <c r="D28" s="13">
        <v>17.138060299043314</v>
      </c>
      <c r="E28" s="13">
        <v>17.941406875560979</v>
      </c>
      <c r="F28" s="13">
        <v>17.941406875560979</v>
      </c>
      <c r="G28" s="13">
        <v>17.405842491215882</v>
      </c>
      <c r="H28" s="13">
        <v>16.870278106870771</v>
      </c>
      <c r="I28" s="13">
        <v>12.585763032109941</v>
      </c>
      <c r="J28" s="13">
        <v>17.941406875560979</v>
      </c>
      <c r="K28" s="13">
        <v>19.548100028596288</v>
      </c>
      <c r="L28" s="13">
        <v>18.209189067733536</v>
      </c>
      <c r="M28" s="13">
        <v>12.585763032109941</v>
      </c>
      <c r="N28" s="39">
        <f t="shared" si="1"/>
        <v>204.58559481982965</v>
      </c>
      <c r="P28" s="108">
        <f t="shared" si="8"/>
        <v>18.47697125990608</v>
      </c>
      <c r="Q28" s="108">
        <f t="shared" si="2"/>
        <v>36.418378135467059</v>
      </c>
      <c r="R28" s="108">
        <f t="shared" si="2"/>
        <v>53.556438434510369</v>
      </c>
      <c r="S28" s="108">
        <f t="shared" si="2"/>
        <v>71.497845310071341</v>
      </c>
      <c r="T28" s="108">
        <f t="shared" si="2"/>
        <v>89.439252185632313</v>
      </c>
      <c r="U28" s="108">
        <f t="shared" si="2"/>
        <v>106.84509467684819</v>
      </c>
      <c r="V28" s="108">
        <f t="shared" si="2"/>
        <v>123.71537278371896</v>
      </c>
      <c r="W28" s="108">
        <f t="shared" si="2"/>
        <v>136.3011358158289</v>
      </c>
      <c r="X28" s="108">
        <f t="shared" si="2"/>
        <v>154.24254269138987</v>
      </c>
      <c r="Y28" s="108">
        <f t="shared" si="2"/>
        <v>173.79064271998615</v>
      </c>
      <c r="Z28" s="108">
        <f t="shared" si="2"/>
        <v>191.9998317877197</v>
      </c>
      <c r="AA28" s="108">
        <f t="shared" si="2"/>
        <v>204.58559481982965</v>
      </c>
    </row>
    <row r="29" spans="1:27" x14ac:dyDescent="0.2">
      <c r="A29" s="10" t="s">
        <v>33</v>
      </c>
      <c r="B29" s="13">
        <v>118.76615699999995</v>
      </c>
      <c r="C29" s="13">
        <v>118.76615699999995</v>
      </c>
      <c r="D29" s="13">
        <v>118.76615699999995</v>
      </c>
      <c r="E29" s="13">
        <v>118.76615699999995</v>
      </c>
      <c r="F29" s="13">
        <v>118.76615699999995</v>
      </c>
      <c r="G29" s="13">
        <v>121.10782366666662</v>
      </c>
      <c r="H29" s="13">
        <v>122.10782366666662</v>
      </c>
      <c r="I29" s="13">
        <v>122.10782366666662</v>
      </c>
      <c r="J29" s="13">
        <v>128.6849586528925</v>
      </c>
      <c r="K29" s="13">
        <v>128.6849586528925</v>
      </c>
      <c r="L29" s="13">
        <v>134.45415944177304</v>
      </c>
      <c r="M29" s="13">
        <v>135.45415944177304</v>
      </c>
      <c r="N29" s="39">
        <f t="shared" si="1"/>
        <v>1486.4324921893306</v>
      </c>
      <c r="P29" s="108">
        <f t="shared" si="8"/>
        <v>118.76615699999995</v>
      </c>
      <c r="Q29" s="108">
        <f t="shared" si="2"/>
        <v>237.5323139999999</v>
      </c>
      <c r="R29" s="108">
        <f t="shared" si="2"/>
        <v>356.29847099999984</v>
      </c>
      <c r="S29" s="108">
        <f t="shared" si="2"/>
        <v>475.0646279999998</v>
      </c>
      <c r="T29" s="108">
        <f t="shared" si="2"/>
        <v>593.83078499999976</v>
      </c>
      <c r="U29" s="108">
        <f t="shared" si="2"/>
        <v>714.93860866666637</v>
      </c>
      <c r="V29" s="108">
        <f t="shared" si="2"/>
        <v>837.04643233333297</v>
      </c>
      <c r="W29" s="108">
        <f t="shared" si="2"/>
        <v>959.15425599999958</v>
      </c>
      <c r="X29" s="108">
        <f t="shared" si="2"/>
        <v>1087.839214652892</v>
      </c>
      <c r="Y29" s="108">
        <f t="shared" si="2"/>
        <v>1216.5241733057844</v>
      </c>
      <c r="Z29" s="108">
        <f t="shared" si="2"/>
        <v>1350.9783327475575</v>
      </c>
      <c r="AA29" s="108">
        <f t="shared" si="2"/>
        <v>1486.4324921893306</v>
      </c>
    </row>
    <row r="30" spans="1:27" x14ac:dyDescent="0.2">
      <c r="A30" s="10" t="s">
        <v>112</v>
      </c>
      <c r="B30" s="11">
        <v>73.646772639619485</v>
      </c>
      <c r="C30" s="11">
        <v>0</v>
      </c>
      <c r="D30" s="11">
        <v>0</v>
      </c>
      <c r="E30" s="11">
        <v>-191.53156659976503</v>
      </c>
      <c r="F30" s="11">
        <v>37.908879470082866</v>
      </c>
      <c r="G30" s="11">
        <v>20.308328287546829</v>
      </c>
      <c r="H30" s="11">
        <v>24.901221273743431</v>
      </c>
      <c r="I30" s="11">
        <v>17.987376483256412</v>
      </c>
      <c r="J30" s="11">
        <v>17.600551182536037</v>
      </c>
      <c r="K30" s="11">
        <v>35.774110715733514</v>
      </c>
      <c r="L30" s="11">
        <v>14.892774077531612</v>
      </c>
      <c r="M30" s="11">
        <v>14.505948776821242</v>
      </c>
      <c r="N30" s="39">
        <f t="shared" si="1"/>
        <v>65.994396307106399</v>
      </c>
      <c r="P30" s="107">
        <f t="shared" si="8"/>
        <v>73.646772639619485</v>
      </c>
      <c r="Q30" s="107">
        <f t="shared" si="2"/>
        <v>73.646772639619485</v>
      </c>
      <c r="R30" s="107">
        <f t="shared" si="2"/>
        <v>73.646772639619485</v>
      </c>
      <c r="S30" s="107">
        <f t="shared" si="2"/>
        <v>-117.88479396014554</v>
      </c>
      <c r="T30" s="107">
        <f t="shared" si="2"/>
        <v>-79.975914490062678</v>
      </c>
      <c r="U30" s="107">
        <f t="shared" si="2"/>
        <v>-59.667586202515849</v>
      </c>
      <c r="V30" s="107">
        <f t="shared" si="2"/>
        <v>-34.766364928772418</v>
      </c>
      <c r="W30" s="107">
        <f t="shared" si="2"/>
        <v>-16.778988445516006</v>
      </c>
      <c r="X30" s="107">
        <f t="shared" si="2"/>
        <v>0.82156273702003091</v>
      </c>
      <c r="Y30" s="107">
        <f t="shared" si="2"/>
        <v>36.595673452753545</v>
      </c>
      <c r="Z30" s="107">
        <f t="shared" si="2"/>
        <v>51.488447530285157</v>
      </c>
      <c r="AA30" s="107">
        <f t="shared" si="2"/>
        <v>65.994396307106399</v>
      </c>
    </row>
    <row r="31" spans="1:27" x14ac:dyDescent="0.2">
      <c r="A31" s="30" t="s">
        <v>35</v>
      </c>
      <c r="B31" s="226">
        <f>SUM(B19:B30)-B20</f>
        <v>11934.590404719016</v>
      </c>
      <c r="C31" s="226">
        <f t="shared" ref="C31:M31" si="9">SUM(C19:C30)-C20</f>
        <v>11485.054457699676</v>
      </c>
      <c r="D31" s="226">
        <f t="shared" si="9"/>
        <v>11058.146233378422</v>
      </c>
      <c r="E31" s="226">
        <f t="shared" si="9"/>
        <v>11569.856717753217</v>
      </c>
      <c r="F31" s="226">
        <f t="shared" si="9"/>
        <v>11753.518734503657</v>
      </c>
      <c r="G31" s="226">
        <f t="shared" si="9"/>
        <v>11320.426567412849</v>
      </c>
      <c r="H31" s="226">
        <f t="shared" si="9"/>
        <v>10997.267650283213</v>
      </c>
      <c r="I31" s="226">
        <f t="shared" si="9"/>
        <v>9148.0385224407855</v>
      </c>
      <c r="J31" s="226">
        <f t="shared" si="9"/>
        <v>11599.344300933588</v>
      </c>
      <c r="K31" s="226">
        <f t="shared" si="9"/>
        <v>12570.90684397155</v>
      </c>
      <c r="L31" s="226">
        <f t="shared" si="9"/>
        <v>11756.061989582697</v>
      </c>
      <c r="M31" s="226">
        <f t="shared" si="9"/>
        <v>8380.3434551472183</v>
      </c>
      <c r="N31" s="31">
        <f t="shared" si="1"/>
        <v>133573.55587782591</v>
      </c>
      <c r="P31" s="241">
        <f t="shared" si="8"/>
        <v>11934.590404719016</v>
      </c>
      <c r="Q31" s="241">
        <f t="shared" si="2"/>
        <v>23419.644862418692</v>
      </c>
      <c r="R31" s="241">
        <f t="shared" si="2"/>
        <v>34477.791095797118</v>
      </c>
      <c r="S31" s="241">
        <f t="shared" si="2"/>
        <v>46047.647813550335</v>
      </c>
      <c r="T31" s="241">
        <f t="shared" si="2"/>
        <v>57801.166548053996</v>
      </c>
      <c r="U31" s="241">
        <f t="shared" si="2"/>
        <v>69121.593115466851</v>
      </c>
      <c r="V31" s="241">
        <f t="shared" si="2"/>
        <v>80118.860765750069</v>
      </c>
      <c r="W31" s="241">
        <f t="shared" si="2"/>
        <v>89266.899288190849</v>
      </c>
      <c r="X31" s="241">
        <f t="shared" si="2"/>
        <v>100866.24358912444</v>
      </c>
      <c r="Y31" s="241">
        <f t="shared" si="2"/>
        <v>113437.15043309599</v>
      </c>
      <c r="Z31" s="241">
        <f t="shared" si="2"/>
        <v>125193.21242267868</v>
      </c>
      <c r="AA31" s="241">
        <f t="shared" si="2"/>
        <v>133573.55587782591</v>
      </c>
    </row>
    <row r="32" spans="1:27" ht="13.5" thickBot="1" x14ac:dyDescent="0.25">
      <c r="A32" s="10"/>
      <c r="B32" s="190"/>
      <c r="C32" s="32"/>
      <c r="D32" s="32"/>
      <c r="E32" s="32"/>
      <c r="F32" s="32"/>
      <c r="G32" s="32"/>
      <c r="H32" s="32"/>
      <c r="I32" s="32"/>
      <c r="J32" s="21"/>
      <c r="K32" s="21"/>
      <c r="L32" s="21"/>
      <c r="M32" s="21"/>
      <c r="N32" s="21">
        <f t="shared" si="1"/>
        <v>0</v>
      </c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</row>
    <row r="33" spans="1:27" ht="13.5" thickBot="1" x14ac:dyDescent="0.25">
      <c r="A33" s="261" t="s">
        <v>36</v>
      </c>
      <c r="B33" s="34">
        <f>+B16-B31</f>
        <v>2552.4011484515777</v>
      </c>
      <c r="C33" s="34">
        <f t="shared" ref="C33:M33" si="10">+C16-C31</f>
        <v>2922.2233413989616</v>
      </c>
      <c r="D33" s="34">
        <f t="shared" si="10"/>
        <v>2903.7766680687928</v>
      </c>
      <c r="E33" s="34">
        <f t="shared" si="10"/>
        <v>3065.9116841238356</v>
      </c>
      <c r="F33" s="34">
        <f t="shared" si="10"/>
        <v>2604.9341353602904</v>
      </c>
      <c r="G33" s="34">
        <f t="shared" si="10"/>
        <v>2520.9088210667906</v>
      </c>
      <c r="H33" s="34">
        <f t="shared" si="10"/>
        <v>2198.6886719042486</v>
      </c>
      <c r="I33" s="34">
        <f t="shared" si="10"/>
        <v>725.58313267161429</v>
      </c>
      <c r="J33" s="34">
        <f t="shared" si="10"/>
        <v>2697.4738478328472</v>
      </c>
      <c r="K33" s="34">
        <f t="shared" si="10"/>
        <v>3188.450503733593</v>
      </c>
      <c r="L33" s="34">
        <f t="shared" si="10"/>
        <v>2564.2718120483223</v>
      </c>
      <c r="M33" s="34">
        <f t="shared" si="10"/>
        <v>1280.3596313855051</v>
      </c>
      <c r="N33" s="35">
        <f t="shared" si="1"/>
        <v>29224.983398046381</v>
      </c>
      <c r="P33" s="118">
        <f>B33</f>
        <v>2552.4011484515777</v>
      </c>
      <c r="Q33" s="118">
        <f t="shared" si="2"/>
        <v>5474.6244898505392</v>
      </c>
      <c r="R33" s="118">
        <f t="shared" si="2"/>
        <v>8378.401157919332</v>
      </c>
      <c r="S33" s="118">
        <f t="shared" si="2"/>
        <v>11444.312842043168</v>
      </c>
      <c r="T33" s="118">
        <f t="shared" si="2"/>
        <v>14049.246977403458</v>
      </c>
      <c r="U33" s="118">
        <f t="shared" si="2"/>
        <v>16570.155798470249</v>
      </c>
      <c r="V33" s="118">
        <f t="shared" si="2"/>
        <v>18768.844470374497</v>
      </c>
      <c r="W33" s="118">
        <f t="shared" si="2"/>
        <v>19494.427603046111</v>
      </c>
      <c r="X33" s="118">
        <f t="shared" si="2"/>
        <v>22191.901450878959</v>
      </c>
      <c r="Y33" s="118">
        <f t="shared" si="2"/>
        <v>25380.351954612554</v>
      </c>
      <c r="Z33" s="118">
        <f t="shared" si="2"/>
        <v>27944.623766660876</v>
      </c>
      <c r="AA33" s="118">
        <f t="shared" si="2"/>
        <v>29224.983398046381</v>
      </c>
    </row>
    <row r="34" spans="1:27" x14ac:dyDescent="0.2">
      <c r="A34" s="10"/>
      <c r="B34" s="32"/>
      <c r="C34" s="32"/>
      <c r="D34" s="32"/>
      <c r="E34" s="32"/>
      <c r="F34" s="32"/>
      <c r="G34" s="32"/>
      <c r="H34" s="32"/>
      <c r="I34" s="32"/>
      <c r="J34" s="21"/>
      <c r="K34" s="21"/>
      <c r="L34" s="21"/>
      <c r="M34" s="21"/>
      <c r="N34" s="21">
        <f t="shared" si="1"/>
        <v>0</v>
      </c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</row>
    <row r="35" spans="1:27" x14ac:dyDescent="0.2">
      <c r="A35" s="16" t="s">
        <v>37</v>
      </c>
      <c r="B35" s="32"/>
      <c r="C35" s="32"/>
      <c r="D35" s="32"/>
      <c r="E35" s="32"/>
      <c r="F35" s="32"/>
      <c r="G35" s="32"/>
      <c r="H35" s="32"/>
      <c r="I35" s="32"/>
      <c r="J35" s="21"/>
      <c r="K35" s="21"/>
      <c r="L35" s="21"/>
      <c r="M35" s="21"/>
      <c r="N35" s="21">
        <f t="shared" si="1"/>
        <v>0</v>
      </c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</row>
    <row r="36" spans="1:27" x14ac:dyDescent="0.2">
      <c r="A36" s="10" t="s">
        <v>17</v>
      </c>
      <c r="B36" s="11">
        <v>618.95742940209902</v>
      </c>
      <c r="C36" s="11">
        <v>601.01663434696582</v>
      </c>
      <c r="D36" s="11">
        <v>574.10544176426572</v>
      </c>
      <c r="E36" s="11">
        <v>601.01663434696582</v>
      </c>
      <c r="F36" s="11">
        <v>601.01663434696582</v>
      </c>
      <c r="G36" s="11">
        <v>583.07583929183249</v>
      </c>
      <c r="H36" s="11">
        <v>565.13504423669917</v>
      </c>
      <c r="I36" s="11">
        <v>421.60868379563266</v>
      </c>
      <c r="J36" s="11">
        <v>601.01663434696582</v>
      </c>
      <c r="K36" s="11">
        <v>654.83901951236578</v>
      </c>
      <c r="L36" s="11">
        <v>609.98703187453248</v>
      </c>
      <c r="M36" s="11">
        <v>421.60868379563266</v>
      </c>
      <c r="N36" s="9">
        <f t="shared" si="1"/>
        <v>6853.3837110609229</v>
      </c>
      <c r="P36" s="107">
        <f>B36</f>
        <v>618.95742940209902</v>
      </c>
      <c r="Q36" s="107">
        <f t="shared" si="2"/>
        <v>1219.974063749065</v>
      </c>
      <c r="R36" s="107">
        <f t="shared" si="2"/>
        <v>1794.0795055133308</v>
      </c>
      <c r="S36" s="107">
        <f t="shared" si="2"/>
        <v>2395.0961398602967</v>
      </c>
      <c r="T36" s="107">
        <f t="shared" si="2"/>
        <v>2996.1127742072626</v>
      </c>
      <c r="U36" s="107">
        <f t="shared" si="2"/>
        <v>3579.188613499095</v>
      </c>
      <c r="V36" s="107">
        <f t="shared" si="2"/>
        <v>4144.3236577357939</v>
      </c>
      <c r="W36" s="107">
        <f t="shared" si="2"/>
        <v>4565.9323415314266</v>
      </c>
      <c r="X36" s="107">
        <f t="shared" si="2"/>
        <v>5166.948975878392</v>
      </c>
      <c r="Y36" s="107">
        <f t="shared" si="2"/>
        <v>5821.7879953907577</v>
      </c>
      <c r="Z36" s="107">
        <f t="shared" si="2"/>
        <v>6431.7750272652902</v>
      </c>
      <c r="AA36" s="107">
        <f t="shared" si="2"/>
        <v>6853.3837110609229</v>
      </c>
    </row>
    <row r="37" spans="1:27" x14ac:dyDescent="0.2">
      <c r="A37" s="10" t="s">
        <v>38</v>
      </c>
      <c r="B37" s="11">
        <f>B8</f>
        <v>74.271591117872603</v>
      </c>
      <c r="C37" s="11">
        <f t="shared" ref="C37:M37" si="11">C8</f>
        <v>74.111477366632712</v>
      </c>
      <c r="D37" s="11">
        <f t="shared" si="11"/>
        <v>71.96045360068689</v>
      </c>
      <c r="E37" s="11">
        <f t="shared" si="11"/>
        <v>75.451664817067766</v>
      </c>
      <c r="F37" s="11">
        <f t="shared" si="11"/>
        <v>73.825099911135482</v>
      </c>
      <c r="G37" s="11">
        <f t="shared" si="11"/>
        <v>71.09944088586947</v>
      </c>
      <c r="H37" s="11">
        <f t="shared" si="11"/>
        <v>67.621477107689188</v>
      </c>
      <c r="I37" s="11">
        <f t="shared" si="11"/>
        <v>50.594185406203643</v>
      </c>
      <c r="J37" s="11">
        <f t="shared" si="11"/>
        <v>73.463587977071114</v>
      </c>
      <c r="K37" s="11">
        <f t="shared" si="11"/>
        <v>81.119640361782729</v>
      </c>
      <c r="L37" s="11">
        <f t="shared" si="11"/>
        <v>73.44779713163409</v>
      </c>
      <c r="M37" s="11">
        <f t="shared" si="11"/>
        <v>49.345334074440949</v>
      </c>
      <c r="N37" s="9">
        <f t="shared" si="1"/>
        <v>836.31174975808653</v>
      </c>
      <c r="P37" s="107">
        <f>B37</f>
        <v>74.271591117872603</v>
      </c>
      <c r="Q37" s="107">
        <f t="shared" si="2"/>
        <v>148.38306848450532</v>
      </c>
      <c r="R37" s="107">
        <f t="shared" si="2"/>
        <v>220.34352208519221</v>
      </c>
      <c r="S37" s="107">
        <f t="shared" si="2"/>
        <v>295.79518690225996</v>
      </c>
      <c r="T37" s="107">
        <f t="shared" si="2"/>
        <v>369.62028681339541</v>
      </c>
      <c r="U37" s="107">
        <f t="shared" si="2"/>
        <v>440.71972769926487</v>
      </c>
      <c r="V37" s="107">
        <f t="shared" si="2"/>
        <v>508.34120480695407</v>
      </c>
      <c r="W37" s="107">
        <f t="shared" si="2"/>
        <v>558.93539021315769</v>
      </c>
      <c r="X37" s="107">
        <f t="shared" si="2"/>
        <v>632.39897819022883</v>
      </c>
      <c r="Y37" s="107">
        <f t="shared" si="2"/>
        <v>713.5186185520115</v>
      </c>
      <c r="Z37" s="107">
        <f t="shared" si="2"/>
        <v>786.96641568364555</v>
      </c>
      <c r="AA37" s="107">
        <f t="shared" si="2"/>
        <v>836.31174975808653</v>
      </c>
    </row>
    <row r="38" spans="1:27" x14ac:dyDescent="0.2">
      <c r="A38" s="10" t="s">
        <v>39</v>
      </c>
      <c r="B38" s="11">
        <v>15.972472666666668</v>
      </c>
      <c r="C38" s="11">
        <v>15.972472666666668</v>
      </c>
      <c r="D38" s="11">
        <v>15.972472666666668</v>
      </c>
      <c r="E38" s="11">
        <v>15.972472666666668</v>
      </c>
      <c r="F38" s="11">
        <v>15.972472666666668</v>
      </c>
      <c r="G38" s="11">
        <v>15.972472666666668</v>
      </c>
      <c r="H38" s="11">
        <v>15.972472666666668</v>
      </c>
      <c r="I38" s="11">
        <v>15.972472666666668</v>
      </c>
      <c r="J38" s="11">
        <v>15.972472666666668</v>
      </c>
      <c r="K38" s="11">
        <v>15.972472666666668</v>
      </c>
      <c r="L38" s="11">
        <v>15.972472666666668</v>
      </c>
      <c r="M38" s="11">
        <v>15.972472666666668</v>
      </c>
      <c r="N38" s="9">
        <f t="shared" si="1"/>
        <v>191.66967200000008</v>
      </c>
      <c r="P38" s="107">
        <f>B38</f>
        <v>15.972472666666668</v>
      </c>
      <c r="Q38" s="107">
        <f t="shared" si="2"/>
        <v>31.944945333333337</v>
      </c>
      <c r="R38" s="107">
        <f t="shared" si="2"/>
        <v>47.917418000000005</v>
      </c>
      <c r="S38" s="107">
        <f t="shared" si="2"/>
        <v>63.889890666666673</v>
      </c>
      <c r="T38" s="107">
        <f t="shared" si="2"/>
        <v>79.862363333333349</v>
      </c>
      <c r="U38" s="107">
        <f t="shared" si="2"/>
        <v>95.834836000000024</v>
      </c>
      <c r="V38" s="107">
        <f t="shared" si="2"/>
        <v>111.8073086666667</v>
      </c>
      <c r="W38" s="107">
        <f t="shared" si="2"/>
        <v>127.77978133333337</v>
      </c>
      <c r="X38" s="107">
        <f t="shared" si="2"/>
        <v>143.75225400000005</v>
      </c>
      <c r="Y38" s="107">
        <f t="shared" si="2"/>
        <v>159.72472666666673</v>
      </c>
      <c r="Z38" s="107">
        <f t="shared" si="2"/>
        <v>175.6971993333334</v>
      </c>
      <c r="AA38" s="107">
        <f t="shared" si="2"/>
        <v>191.66967200000008</v>
      </c>
    </row>
    <row r="39" spans="1:27" x14ac:dyDescent="0.2">
      <c r="A39" s="10" t="s">
        <v>40</v>
      </c>
      <c r="B39" s="15">
        <v>40.851824798400003</v>
      </c>
      <c r="C39" s="15">
        <v>40.851824798400003</v>
      </c>
      <c r="D39" s="15">
        <v>40.851824798400003</v>
      </c>
      <c r="E39" s="15">
        <v>40.851824798400003</v>
      </c>
      <c r="F39" s="15">
        <v>40.851824798400003</v>
      </c>
      <c r="G39" s="15">
        <v>40.851824798400003</v>
      </c>
      <c r="H39" s="15">
        <v>40.851824798400003</v>
      </c>
      <c r="I39" s="15">
        <v>40.851824798400003</v>
      </c>
      <c r="J39" s="15">
        <v>40.851824798400003</v>
      </c>
      <c r="K39" s="15">
        <v>40.851824798400003</v>
      </c>
      <c r="L39" s="15">
        <v>40.851824798400003</v>
      </c>
      <c r="M39" s="15">
        <v>40.851824798400003</v>
      </c>
      <c r="N39" s="191">
        <f t="shared" si="1"/>
        <v>490.22189758080003</v>
      </c>
      <c r="P39" s="119">
        <f>B39</f>
        <v>40.851824798400003</v>
      </c>
      <c r="Q39" s="119">
        <f t="shared" si="2"/>
        <v>81.703649596800005</v>
      </c>
      <c r="R39" s="119">
        <f t="shared" si="2"/>
        <v>122.55547439520001</v>
      </c>
      <c r="S39" s="119">
        <f t="shared" si="2"/>
        <v>163.40729919360001</v>
      </c>
      <c r="T39" s="119">
        <f t="shared" si="2"/>
        <v>204.25912399200001</v>
      </c>
      <c r="U39" s="119">
        <f t="shared" si="2"/>
        <v>245.11094879040002</v>
      </c>
      <c r="V39" s="119">
        <f t="shared" si="2"/>
        <v>285.96277358880002</v>
      </c>
      <c r="W39" s="119">
        <f t="shared" si="2"/>
        <v>326.81459838720002</v>
      </c>
      <c r="X39" s="119">
        <f t="shared" si="2"/>
        <v>367.66642318560002</v>
      </c>
      <c r="Y39" s="119">
        <f t="shared" si="2"/>
        <v>408.51824798400003</v>
      </c>
      <c r="Z39" s="119">
        <f t="shared" si="2"/>
        <v>449.37007278240003</v>
      </c>
      <c r="AA39" s="119">
        <f t="shared" si="2"/>
        <v>490.22189758080003</v>
      </c>
    </row>
    <row r="40" spans="1:27" x14ac:dyDescent="0.2">
      <c r="A40" s="10"/>
      <c r="B40" s="12">
        <f>SUM(B36:B39)</f>
        <v>750.05331798503835</v>
      </c>
      <c r="C40" s="12">
        <f t="shared" ref="C40:M40" si="12">SUM(C36:C39)</f>
        <v>731.95240917866522</v>
      </c>
      <c r="D40" s="12">
        <f t="shared" si="12"/>
        <v>702.89019283001937</v>
      </c>
      <c r="E40" s="12">
        <f t="shared" si="12"/>
        <v>733.29259662910033</v>
      </c>
      <c r="F40" s="12">
        <f t="shared" si="12"/>
        <v>731.66603172316798</v>
      </c>
      <c r="G40" s="12">
        <f t="shared" si="12"/>
        <v>710.99957764276871</v>
      </c>
      <c r="H40" s="12">
        <f t="shared" si="12"/>
        <v>689.58081880945508</v>
      </c>
      <c r="I40" s="12">
        <f t="shared" si="12"/>
        <v>529.02716666690299</v>
      </c>
      <c r="J40" s="12">
        <f t="shared" si="12"/>
        <v>731.30451978910367</v>
      </c>
      <c r="K40" s="12">
        <f t="shared" si="12"/>
        <v>792.78295733921516</v>
      </c>
      <c r="L40" s="12">
        <f t="shared" si="12"/>
        <v>740.25912647123323</v>
      </c>
      <c r="M40" s="12">
        <f t="shared" si="12"/>
        <v>527.77831533514018</v>
      </c>
      <c r="N40" s="17">
        <f t="shared" si="1"/>
        <v>8371.5870303998126</v>
      </c>
      <c r="P40" s="112">
        <f>B40</f>
        <v>750.05331798503835</v>
      </c>
      <c r="Q40" s="112">
        <f t="shared" si="2"/>
        <v>1482.0057271637036</v>
      </c>
      <c r="R40" s="112">
        <f t="shared" si="2"/>
        <v>2184.8959199937231</v>
      </c>
      <c r="S40" s="112">
        <f t="shared" si="2"/>
        <v>2918.1885166228235</v>
      </c>
      <c r="T40" s="112">
        <f t="shared" si="2"/>
        <v>3649.8545483459916</v>
      </c>
      <c r="U40" s="112">
        <f t="shared" si="2"/>
        <v>4360.8541259887606</v>
      </c>
      <c r="V40" s="112">
        <f t="shared" si="2"/>
        <v>5050.4349447982158</v>
      </c>
      <c r="W40" s="112">
        <f t="shared" si="2"/>
        <v>5579.4621114651191</v>
      </c>
      <c r="X40" s="112">
        <f t="shared" si="2"/>
        <v>6310.7666312542224</v>
      </c>
      <c r="Y40" s="112">
        <f t="shared" si="2"/>
        <v>7103.5495885934379</v>
      </c>
      <c r="Z40" s="112">
        <f t="shared" si="2"/>
        <v>7843.8087150646716</v>
      </c>
      <c r="AA40" s="112">
        <f t="shared" si="2"/>
        <v>8371.5870303998126</v>
      </c>
    </row>
    <row r="41" spans="1:27" x14ac:dyDescent="0.2">
      <c r="A41" s="1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7">
        <f t="shared" si="1"/>
        <v>0</v>
      </c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1:27" x14ac:dyDescent="0.2">
      <c r="A42" s="16" t="s">
        <v>41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7">
        <f t="shared" si="1"/>
        <v>0</v>
      </c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 spans="1:27" x14ac:dyDescent="0.2">
      <c r="A43" s="10" t="s">
        <v>42</v>
      </c>
      <c r="B43" s="12">
        <v>254.30338852639164</v>
      </c>
      <c r="C43" s="12">
        <v>254.30338852639164</v>
      </c>
      <c r="D43" s="12">
        <v>254.30338852639164</v>
      </c>
      <c r="E43" s="12">
        <v>254.30338852639164</v>
      </c>
      <c r="F43" s="12">
        <v>254.30338852639164</v>
      </c>
      <c r="G43" s="12">
        <v>254.30338852639164</v>
      </c>
      <c r="H43" s="12">
        <v>254.30338852639164</v>
      </c>
      <c r="I43" s="12">
        <v>254.30338852639164</v>
      </c>
      <c r="J43" s="12">
        <v>254.30338852639164</v>
      </c>
      <c r="K43" s="12">
        <v>254.30338852639164</v>
      </c>
      <c r="L43" s="12">
        <v>254.30338852639164</v>
      </c>
      <c r="M43" s="12">
        <v>254.30338852639164</v>
      </c>
      <c r="N43" s="39">
        <f t="shared" si="1"/>
        <v>3051.6406623166999</v>
      </c>
      <c r="P43" s="112">
        <f>B43</f>
        <v>254.30338852639164</v>
      </c>
      <c r="Q43" s="112">
        <f t="shared" si="2"/>
        <v>508.60677705278329</v>
      </c>
      <c r="R43" s="112">
        <f t="shared" si="2"/>
        <v>762.91016557917487</v>
      </c>
      <c r="S43" s="112">
        <f t="shared" si="2"/>
        <v>1017.2135541055666</v>
      </c>
      <c r="T43" s="112">
        <f t="shared" si="2"/>
        <v>1271.5169426319583</v>
      </c>
      <c r="U43" s="112">
        <f t="shared" si="2"/>
        <v>1525.82033115835</v>
      </c>
      <c r="V43" s="112">
        <f t="shared" si="2"/>
        <v>1780.1237196847417</v>
      </c>
      <c r="W43" s="112">
        <f t="shared" si="2"/>
        <v>2034.4271082111334</v>
      </c>
      <c r="X43" s="112">
        <f t="shared" si="2"/>
        <v>2288.7304967375248</v>
      </c>
      <c r="Y43" s="112">
        <f t="shared" si="2"/>
        <v>2543.0338852639165</v>
      </c>
      <c r="Z43" s="112">
        <f t="shared" si="2"/>
        <v>2797.3372737903082</v>
      </c>
      <c r="AA43" s="112">
        <f t="shared" si="2"/>
        <v>3051.6406623166999</v>
      </c>
    </row>
    <row r="44" spans="1:27" x14ac:dyDescent="0.2">
      <c r="A44" s="10" t="s">
        <v>43</v>
      </c>
      <c r="B44" s="15">
        <v>106.0833455960823</v>
      </c>
      <c r="C44" s="15">
        <v>104.33897985345062</v>
      </c>
      <c r="D44" s="15">
        <v>105.69433453194532</v>
      </c>
      <c r="E44" s="15">
        <v>105.52121289615214</v>
      </c>
      <c r="F44" s="15">
        <v>107.55472182057363</v>
      </c>
      <c r="G44" s="15">
        <v>109.39332114090459</v>
      </c>
      <c r="H44" s="15">
        <v>100.30705582843829</v>
      </c>
      <c r="I44" s="15">
        <v>100.78535390717845</v>
      </c>
      <c r="J44" s="15">
        <v>99.523079828438298</v>
      </c>
      <c r="K44" s="15">
        <v>108.8795558284383</v>
      </c>
      <c r="L44" s="15">
        <v>97.576079828438296</v>
      </c>
      <c r="M44" s="15">
        <v>114.15261970245405</v>
      </c>
      <c r="N44" s="191">
        <f t="shared" si="1"/>
        <v>1259.8096607624943</v>
      </c>
      <c r="P44" s="119">
        <f>B44</f>
        <v>106.0833455960823</v>
      </c>
      <c r="Q44" s="119">
        <f t="shared" si="2"/>
        <v>210.42232544953293</v>
      </c>
      <c r="R44" s="119">
        <f t="shared" si="2"/>
        <v>316.11665998147828</v>
      </c>
      <c r="S44" s="119">
        <f t="shared" si="2"/>
        <v>421.6378728776304</v>
      </c>
      <c r="T44" s="119">
        <f t="shared" si="2"/>
        <v>529.19259469820406</v>
      </c>
      <c r="U44" s="119">
        <f t="shared" si="2"/>
        <v>638.58591583910868</v>
      </c>
      <c r="V44" s="119">
        <f t="shared" si="2"/>
        <v>738.89297166754693</v>
      </c>
      <c r="W44" s="119">
        <f t="shared" si="2"/>
        <v>839.67832557472536</v>
      </c>
      <c r="X44" s="119">
        <f t="shared" si="2"/>
        <v>939.20140540316368</v>
      </c>
      <c r="Y44" s="119">
        <f t="shared" si="2"/>
        <v>1048.080961231602</v>
      </c>
      <c r="Z44" s="119">
        <f t="shared" si="2"/>
        <v>1145.6570410600402</v>
      </c>
      <c r="AA44" s="119">
        <f t="shared" si="2"/>
        <v>1259.8096607624943</v>
      </c>
    </row>
    <row r="45" spans="1:27" x14ac:dyDescent="0.2">
      <c r="A45" s="10"/>
      <c r="B45" s="12">
        <f>+B43+B44</f>
        <v>360.38673412247397</v>
      </c>
      <c r="C45" s="12">
        <f t="shared" ref="C45:M45" si="13">+C43+C44</f>
        <v>358.64236837984225</v>
      </c>
      <c r="D45" s="12">
        <f t="shared" si="13"/>
        <v>359.99772305833699</v>
      </c>
      <c r="E45" s="12">
        <f t="shared" si="13"/>
        <v>359.82460142254376</v>
      </c>
      <c r="F45" s="12">
        <f t="shared" si="13"/>
        <v>361.8581103469653</v>
      </c>
      <c r="G45" s="12">
        <f t="shared" si="13"/>
        <v>363.6967096672962</v>
      </c>
      <c r="H45" s="12">
        <f t="shared" si="13"/>
        <v>354.61044435482995</v>
      </c>
      <c r="I45" s="12">
        <f t="shared" si="13"/>
        <v>355.08874243357008</v>
      </c>
      <c r="J45" s="12">
        <f t="shared" si="13"/>
        <v>353.82646835482996</v>
      </c>
      <c r="K45" s="12">
        <f t="shared" si="13"/>
        <v>363.18294435482994</v>
      </c>
      <c r="L45" s="12">
        <f t="shared" si="13"/>
        <v>351.87946835482995</v>
      </c>
      <c r="M45" s="12">
        <f t="shared" si="13"/>
        <v>368.45600822884569</v>
      </c>
      <c r="N45" s="17">
        <f t="shared" si="1"/>
        <v>4311.4503230791934</v>
      </c>
      <c r="P45" s="112">
        <f>B45</f>
        <v>360.38673412247397</v>
      </c>
      <c r="Q45" s="112">
        <f t="shared" si="2"/>
        <v>719.02910250231616</v>
      </c>
      <c r="R45" s="112">
        <f t="shared" si="2"/>
        <v>1079.0268255606532</v>
      </c>
      <c r="S45" s="112">
        <f t="shared" si="2"/>
        <v>1438.8514269831969</v>
      </c>
      <c r="T45" s="112">
        <f t="shared" si="2"/>
        <v>1800.7095373301622</v>
      </c>
      <c r="U45" s="112">
        <f t="shared" si="2"/>
        <v>2164.4062469974583</v>
      </c>
      <c r="V45" s="112">
        <f t="shared" si="2"/>
        <v>2519.016691352288</v>
      </c>
      <c r="W45" s="112">
        <f t="shared" si="2"/>
        <v>2874.1054337858582</v>
      </c>
      <c r="X45" s="112">
        <f t="shared" si="2"/>
        <v>3227.9319021406882</v>
      </c>
      <c r="Y45" s="112">
        <f t="shared" si="2"/>
        <v>3591.1148464955181</v>
      </c>
      <c r="Z45" s="112">
        <f t="shared" si="2"/>
        <v>3942.994314850348</v>
      </c>
      <c r="AA45" s="112">
        <f t="shared" si="2"/>
        <v>4311.4503230791934</v>
      </c>
    </row>
    <row r="46" spans="1:27" x14ac:dyDescent="0.2">
      <c r="A46" s="10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7">
        <f t="shared" si="1"/>
        <v>0</v>
      </c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</row>
    <row r="47" spans="1:27" x14ac:dyDescent="0.2">
      <c r="A47" s="16" t="s">
        <v>44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9">
        <f t="shared" si="1"/>
        <v>0</v>
      </c>
      <c r="P47" s="112">
        <f>B47</f>
        <v>0</v>
      </c>
      <c r="Q47" s="112">
        <f t="shared" si="2"/>
        <v>0</v>
      </c>
      <c r="R47" s="112">
        <f t="shared" si="2"/>
        <v>0</v>
      </c>
      <c r="S47" s="112">
        <f t="shared" si="2"/>
        <v>0</v>
      </c>
      <c r="T47" s="112">
        <f t="shared" si="2"/>
        <v>0</v>
      </c>
      <c r="U47" s="112">
        <f t="shared" si="2"/>
        <v>0</v>
      </c>
      <c r="V47" s="112">
        <f t="shared" si="2"/>
        <v>0</v>
      </c>
      <c r="W47" s="112">
        <f t="shared" si="2"/>
        <v>0</v>
      </c>
      <c r="X47" s="112">
        <f t="shared" si="2"/>
        <v>0</v>
      </c>
      <c r="Y47" s="112">
        <f t="shared" si="2"/>
        <v>0</v>
      </c>
      <c r="Z47" s="112">
        <f t="shared" si="2"/>
        <v>0</v>
      </c>
      <c r="AA47" s="112">
        <f t="shared" si="2"/>
        <v>0</v>
      </c>
    </row>
    <row r="48" spans="1:27" ht="13.5" thickBot="1" x14ac:dyDescent="0.25">
      <c r="A48" s="10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7">
        <f t="shared" si="1"/>
        <v>0</v>
      </c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</row>
    <row r="49" spans="1:27" ht="13.5" thickBot="1" x14ac:dyDescent="0.25">
      <c r="A49" s="33" t="s">
        <v>45</v>
      </c>
      <c r="B49" s="34">
        <f>+B33-B40-B45-B47</f>
        <v>1441.9610963440655</v>
      </c>
      <c r="C49" s="34">
        <f t="shared" ref="C49:M49" si="14">+C33-C40-C45-C47</f>
        <v>1831.628563840454</v>
      </c>
      <c r="D49" s="34">
        <f t="shared" si="14"/>
        <v>1840.8887521804365</v>
      </c>
      <c r="E49" s="34">
        <f t="shared" si="14"/>
        <v>1972.7944860721914</v>
      </c>
      <c r="F49" s="34">
        <f t="shared" si="14"/>
        <v>1511.409993290157</v>
      </c>
      <c r="G49" s="34">
        <f t="shared" si="14"/>
        <v>1446.2125337567259</v>
      </c>
      <c r="H49" s="34">
        <f t="shared" si="14"/>
        <v>1154.4974087399635</v>
      </c>
      <c r="I49" s="34">
        <f t="shared" si="14"/>
        <v>-158.53277642885877</v>
      </c>
      <c r="J49" s="34">
        <f t="shared" si="14"/>
        <v>1612.3428596889134</v>
      </c>
      <c r="K49" s="34">
        <f t="shared" si="14"/>
        <v>2032.484602039548</v>
      </c>
      <c r="L49" s="34">
        <f t="shared" si="14"/>
        <v>1472.1332172222592</v>
      </c>
      <c r="M49" s="34">
        <f t="shared" si="14"/>
        <v>384.12530782151919</v>
      </c>
      <c r="N49" s="35">
        <f>SUM(B49:M49)</f>
        <v>16541.946044567376</v>
      </c>
      <c r="P49" s="118">
        <f>B49</f>
        <v>1441.9610963440655</v>
      </c>
      <c r="Q49" s="118">
        <f t="shared" si="2"/>
        <v>3273.5896601845197</v>
      </c>
      <c r="R49" s="118">
        <f t="shared" si="2"/>
        <v>5114.4784123649561</v>
      </c>
      <c r="S49" s="118">
        <f t="shared" si="2"/>
        <v>7087.2728984371479</v>
      </c>
      <c r="T49" s="118">
        <f t="shared" si="2"/>
        <v>8598.6828917273051</v>
      </c>
      <c r="U49" s="118">
        <f t="shared" si="2"/>
        <v>10044.895425484032</v>
      </c>
      <c r="V49" s="118">
        <f t="shared" si="2"/>
        <v>11199.392834223996</v>
      </c>
      <c r="W49" s="118">
        <f t="shared" si="2"/>
        <v>11040.860057795137</v>
      </c>
      <c r="X49" s="118">
        <f t="shared" si="2"/>
        <v>12653.20291748405</v>
      </c>
      <c r="Y49" s="118">
        <f t="shared" si="2"/>
        <v>14685.687519523599</v>
      </c>
      <c r="Z49" s="118">
        <f t="shared" si="2"/>
        <v>16157.820736745858</v>
      </c>
      <c r="AA49" s="118">
        <f t="shared" si="2"/>
        <v>16541.946044567376</v>
      </c>
    </row>
    <row r="50" spans="1:27" ht="13.5" thickBot="1" x14ac:dyDescent="0.25">
      <c r="A50" s="10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7">
        <f t="shared" si="1"/>
        <v>0</v>
      </c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</row>
    <row r="51" spans="1:27" ht="13.5" thickBot="1" x14ac:dyDescent="0.25">
      <c r="A51" s="33" t="s">
        <v>46</v>
      </c>
      <c r="B51" s="34">
        <f>B49+B29</f>
        <v>1560.7272533440655</v>
      </c>
      <c r="C51" s="34">
        <f t="shared" ref="C51:M51" si="15">C49+C29</f>
        <v>1950.3947208404541</v>
      </c>
      <c r="D51" s="34">
        <f t="shared" si="15"/>
        <v>1959.6549091804366</v>
      </c>
      <c r="E51" s="34">
        <f t="shared" si="15"/>
        <v>2091.5606430721914</v>
      </c>
      <c r="F51" s="34">
        <f t="shared" si="15"/>
        <v>1630.176150290157</v>
      </c>
      <c r="G51" s="34">
        <f t="shared" si="15"/>
        <v>1567.3203574233926</v>
      </c>
      <c r="H51" s="34">
        <f t="shared" si="15"/>
        <v>1276.6052324066302</v>
      </c>
      <c r="I51" s="34">
        <f t="shared" si="15"/>
        <v>-36.424952762192149</v>
      </c>
      <c r="J51" s="34">
        <f t="shared" si="15"/>
        <v>1741.0278183418059</v>
      </c>
      <c r="K51" s="34">
        <f t="shared" si="15"/>
        <v>2161.1695606924404</v>
      </c>
      <c r="L51" s="34">
        <f t="shared" si="15"/>
        <v>1606.5873766640323</v>
      </c>
      <c r="M51" s="34">
        <f t="shared" si="15"/>
        <v>519.57946726329226</v>
      </c>
      <c r="N51" s="35">
        <f t="shared" si="1"/>
        <v>18028.378536756703</v>
      </c>
      <c r="P51" s="118">
        <f>B51</f>
        <v>1560.7272533440655</v>
      </c>
      <c r="Q51" s="118">
        <f t="shared" si="2"/>
        <v>3511.1219741845198</v>
      </c>
      <c r="R51" s="118">
        <f t="shared" si="2"/>
        <v>5470.7768833649561</v>
      </c>
      <c r="S51" s="118">
        <f t="shared" si="2"/>
        <v>7562.337526437148</v>
      </c>
      <c r="T51" s="118">
        <f t="shared" si="2"/>
        <v>9192.5136767273052</v>
      </c>
      <c r="U51" s="118">
        <f t="shared" si="2"/>
        <v>10759.834034150697</v>
      </c>
      <c r="V51" s="118">
        <f t="shared" si="2"/>
        <v>12036.439266557327</v>
      </c>
      <c r="W51" s="118">
        <f t="shared" si="2"/>
        <v>12000.014313795135</v>
      </c>
      <c r="X51" s="118">
        <f t="shared" si="2"/>
        <v>13741.042132136939</v>
      </c>
      <c r="Y51" s="118">
        <f t="shared" si="2"/>
        <v>15902.21169282938</v>
      </c>
      <c r="Z51" s="118">
        <f t="shared" si="2"/>
        <v>17508.799069493412</v>
      </c>
      <c r="AA51" s="118">
        <f t="shared" si="2"/>
        <v>18028.378536756703</v>
      </c>
    </row>
    <row r="52" spans="1:27" x14ac:dyDescent="0.2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7">
        <f t="shared" si="1"/>
        <v>0</v>
      </c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</row>
    <row r="53" spans="1:27" x14ac:dyDescent="0.2">
      <c r="A53" s="16" t="s">
        <v>47</v>
      </c>
      <c r="B53" s="11">
        <v>220.1868767123288</v>
      </c>
      <c r="C53" s="11">
        <v>199.13008219178082</v>
      </c>
      <c r="D53" s="11">
        <v>220.1868767123288</v>
      </c>
      <c r="E53" s="11">
        <v>213.16794520547944</v>
      </c>
      <c r="F53" s="11">
        <v>220.1868767123288</v>
      </c>
      <c r="G53" s="11">
        <v>213.16794520547944</v>
      </c>
      <c r="H53" s="11">
        <v>220.1868767123288</v>
      </c>
      <c r="I53" s="11">
        <v>220.1868767123288</v>
      </c>
      <c r="J53" s="11">
        <v>213.16794520547944</v>
      </c>
      <c r="K53" s="11">
        <v>220.1868767123288</v>
      </c>
      <c r="L53" s="11">
        <v>213.16794520547944</v>
      </c>
      <c r="M53" s="11">
        <v>220.1868767123288</v>
      </c>
      <c r="N53" s="9">
        <f t="shared" si="1"/>
        <v>2593.11</v>
      </c>
      <c r="P53" s="107">
        <f>B53</f>
        <v>220.1868767123288</v>
      </c>
      <c r="Q53" s="107">
        <f t="shared" si="2"/>
        <v>419.31695890410958</v>
      </c>
      <c r="R53" s="107">
        <f t="shared" si="2"/>
        <v>639.50383561643844</v>
      </c>
      <c r="S53" s="107">
        <f t="shared" si="2"/>
        <v>852.67178082191788</v>
      </c>
      <c r="T53" s="107">
        <f t="shared" si="2"/>
        <v>1072.8586575342467</v>
      </c>
      <c r="U53" s="107">
        <f t="shared" si="2"/>
        <v>1286.0266027397261</v>
      </c>
      <c r="V53" s="107">
        <f t="shared" ref="Q53:AA102" si="16">U53+H53</f>
        <v>1506.2134794520548</v>
      </c>
      <c r="W53" s="107">
        <f t="shared" si="16"/>
        <v>1726.4003561643835</v>
      </c>
      <c r="X53" s="107">
        <f t="shared" si="16"/>
        <v>1939.5683013698631</v>
      </c>
      <c r="Y53" s="107">
        <f t="shared" si="16"/>
        <v>2159.7551780821918</v>
      </c>
      <c r="Z53" s="107">
        <f t="shared" si="16"/>
        <v>2372.9231232876714</v>
      </c>
      <c r="AA53" s="107">
        <f t="shared" si="16"/>
        <v>2593.11</v>
      </c>
    </row>
    <row r="54" spans="1:27" ht="13.5" thickBot="1" x14ac:dyDescent="0.25">
      <c r="A54" s="10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21">
        <f t="shared" si="1"/>
        <v>0</v>
      </c>
      <c r="P54" s="107">
        <f>B54</f>
        <v>0</v>
      </c>
      <c r="Q54" s="107">
        <f t="shared" ref="Q54:U54" si="17">P54+C54</f>
        <v>0</v>
      </c>
      <c r="R54" s="107">
        <f t="shared" si="17"/>
        <v>0</v>
      </c>
      <c r="S54" s="107">
        <f t="shared" si="17"/>
        <v>0</v>
      </c>
      <c r="T54" s="107">
        <f t="shared" si="17"/>
        <v>0</v>
      </c>
      <c r="U54" s="107">
        <f t="shared" si="17"/>
        <v>0</v>
      </c>
      <c r="V54" s="107">
        <f t="shared" ref="V54" si="18">U54+H54</f>
        <v>0</v>
      </c>
      <c r="W54" s="107">
        <f t="shared" ref="W54" si="19">V54+I54</f>
        <v>0</v>
      </c>
      <c r="X54" s="107">
        <f t="shared" ref="X54" si="20">W54+J54</f>
        <v>0</v>
      </c>
      <c r="Y54" s="107">
        <f t="shared" ref="Y54" si="21">X54+K54</f>
        <v>0</v>
      </c>
      <c r="Z54" s="107">
        <f t="shared" ref="Z54" si="22">Y54+L54</f>
        <v>0</v>
      </c>
      <c r="AA54" s="107">
        <f t="shared" ref="AA54" si="23">Z54+M54</f>
        <v>0</v>
      </c>
    </row>
    <row r="55" spans="1:27" ht="13.5" thickBot="1" x14ac:dyDescent="0.25">
      <c r="A55" s="36" t="s">
        <v>48</v>
      </c>
      <c r="B55" s="34">
        <f>+B49-B53</f>
        <v>1221.7742196317367</v>
      </c>
      <c r="C55" s="34">
        <f t="shared" ref="C55:M55" si="24">+C49-C53</f>
        <v>1632.4984816486733</v>
      </c>
      <c r="D55" s="34">
        <f t="shared" si="24"/>
        <v>1620.7018754681078</v>
      </c>
      <c r="E55" s="34">
        <f t="shared" si="24"/>
        <v>1759.6265408667118</v>
      </c>
      <c r="F55" s="34">
        <f t="shared" si="24"/>
        <v>1291.2231165778283</v>
      </c>
      <c r="G55" s="34">
        <f t="shared" si="24"/>
        <v>1233.0445885512463</v>
      </c>
      <c r="H55" s="34">
        <f t="shared" si="24"/>
        <v>934.31053202763474</v>
      </c>
      <c r="I55" s="34">
        <f t="shared" si="24"/>
        <v>-378.71965314118756</v>
      </c>
      <c r="J55" s="34">
        <f t="shared" si="24"/>
        <v>1399.1749144834339</v>
      </c>
      <c r="K55" s="34">
        <f t="shared" si="24"/>
        <v>1812.2977253272193</v>
      </c>
      <c r="L55" s="34">
        <f t="shared" si="24"/>
        <v>1258.9652720167796</v>
      </c>
      <c r="M55" s="34">
        <f t="shared" si="24"/>
        <v>163.93843110919039</v>
      </c>
      <c r="N55" s="35">
        <f>SUM(B55:M55)</f>
        <v>13948.836044567377</v>
      </c>
      <c r="P55" s="118">
        <f>B55</f>
        <v>1221.7742196317367</v>
      </c>
      <c r="Q55" s="118">
        <f t="shared" si="16"/>
        <v>2854.2727012804098</v>
      </c>
      <c r="R55" s="118">
        <f t="shared" si="16"/>
        <v>4474.9745767485174</v>
      </c>
      <c r="S55" s="118">
        <f t="shared" si="16"/>
        <v>6234.6011176152297</v>
      </c>
      <c r="T55" s="118">
        <f t="shared" si="16"/>
        <v>7525.8242341930581</v>
      </c>
      <c r="U55" s="118">
        <f t="shared" si="16"/>
        <v>8758.8688227443054</v>
      </c>
      <c r="V55" s="118">
        <f t="shared" si="16"/>
        <v>9693.1793547719408</v>
      </c>
      <c r="W55" s="118">
        <f t="shared" si="16"/>
        <v>9314.4597016307525</v>
      </c>
      <c r="X55" s="118">
        <f t="shared" si="16"/>
        <v>10713.634616114186</v>
      </c>
      <c r="Y55" s="118">
        <f t="shared" si="16"/>
        <v>12525.932341441407</v>
      </c>
      <c r="Z55" s="118">
        <f t="shared" si="16"/>
        <v>13784.897613458186</v>
      </c>
      <c r="AA55" s="118">
        <f t="shared" si="16"/>
        <v>13948.836044567377</v>
      </c>
    </row>
    <row r="56" spans="1:27" x14ac:dyDescent="0.2">
      <c r="A56" s="10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>
        <f t="shared" si="1"/>
        <v>0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</row>
    <row r="57" spans="1:27" x14ac:dyDescent="0.2">
      <c r="A57" s="16" t="s">
        <v>49</v>
      </c>
      <c r="B57" s="37">
        <v>305</v>
      </c>
      <c r="C57" s="37">
        <v>408</v>
      </c>
      <c r="D57" s="37">
        <v>405</v>
      </c>
      <c r="E57" s="37">
        <v>440</v>
      </c>
      <c r="F57" s="37">
        <v>323</v>
      </c>
      <c r="G57" s="37">
        <v>308</v>
      </c>
      <c r="H57" s="37">
        <v>234</v>
      </c>
      <c r="I57" s="37">
        <v>-95</v>
      </c>
      <c r="J57" s="37">
        <v>350</v>
      </c>
      <c r="K57" s="37">
        <v>453</v>
      </c>
      <c r="L57" s="37">
        <v>315</v>
      </c>
      <c r="M57" s="37">
        <v>41</v>
      </c>
      <c r="N57" s="9">
        <f t="shared" si="1"/>
        <v>3487</v>
      </c>
      <c r="P57" s="120">
        <f>B57</f>
        <v>305</v>
      </c>
      <c r="Q57" s="120">
        <f t="shared" ref="Q57:AA122" si="25">P57+C57</f>
        <v>713</v>
      </c>
      <c r="R57" s="120">
        <f t="shared" si="25"/>
        <v>1118</v>
      </c>
      <c r="S57" s="120">
        <f t="shared" si="25"/>
        <v>1558</v>
      </c>
      <c r="T57" s="120">
        <f t="shared" si="25"/>
        <v>1881</v>
      </c>
      <c r="U57" s="120">
        <f t="shared" si="25"/>
        <v>2189</v>
      </c>
      <c r="V57" s="120">
        <f t="shared" si="16"/>
        <v>2423</v>
      </c>
      <c r="W57" s="120">
        <f t="shared" si="16"/>
        <v>2328</v>
      </c>
      <c r="X57" s="120">
        <f t="shared" si="16"/>
        <v>2678</v>
      </c>
      <c r="Y57" s="120">
        <f t="shared" si="16"/>
        <v>3131</v>
      </c>
      <c r="Z57" s="120">
        <f t="shared" si="16"/>
        <v>3446</v>
      </c>
      <c r="AA57" s="120">
        <f t="shared" si="16"/>
        <v>3487</v>
      </c>
    </row>
    <row r="58" spans="1:27" ht="13.5" thickBot="1" x14ac:dyDescent="0.25">
      <c r="A58" s="10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1">
        <f t="shared" si="1"/>
        <v>0</v>
      </c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</row>
    <row r="59" spans="1:27" ht="13.5" thickBot="1" x14ac:dyDescent="0.25">
      <c r="A59" s="36" t="s">
        <v>50</v>
      </c>
      <c r="B59" s="34">
        <f>+B55-B57</f>
        <v>916.77421963173674</v>
      </c>
      <c r="C59" s="34">
        <f t="shared" ref="C59:M59" si="26">+C55-C57</f>
        <v>1224.4984816486733</v>
      </c>
      <c r="D59" s="34">
        <f t="shared" si="26"/>
        <v>1215.7018754681078</v>
      </c>
      <c r="E59" s="34">
        <f t="shared" si="26"/>
        <v>1319.6265408667118</v>
      </c>
      <c r="F59" s="34">
        <f t="shared" si="26"/>
        <v>968.22311657782825</v>
      </c>
      <c r="G59" s="34">
        <f t="shared" si="26"/>
        <v>925.04458855124631</v>
      </c>
      <c r="H59" s="34">
        <f t="shared" si="26"/>
        <v>700.31053202763474</v>
      </c>
      <c r="I59" s="34">
        <f t="shared" si="26"/>
        <v>-283.71965314118756</v>
      </c>
      <c r="J59" s="34">
        <f t="shared" si="26"/>
        <v>1049.1749144834339</v>
      </c>
      <c r="K59" s="34">
        <f t="shared" si="26"/>
        <v>1359.2977253272193</v>
      </c>
      <c r="L59" s="34">
        <f t="shared" si="26"/>
        <v>943.96527201677964</v>
      </c>
      <c r="M59" s="34">
        <f t="shared" si="26"/>
        <v>122.93843110919039</v>
      </c>
      <c r="N59" s="35">
        <f t="shared" si="1"/>
        <v>10461.836044567375</v>
      </c>
      <c r="P59" s="118">
        <f>B59</f>
        <v>916.77421963173674</v>
      </c>
      <c r="Q59" s="118">
        <f t="shared" si="25"/>
        <v>2141.2727012804098</v>
      </c>
      <c r="R59" s="118">
        <f t="shared" si="25"/>
        <v>3356.9745767485174</v>
      </c>
      <c r="S59" s="118">
        <f t="shared" si="25"/>
        <v>4676.6011176152297</v>
      </c>
      <c r="T59" s="118">
        <f t="shared" si="25"/>
        <v>5644.8242341930581</v>
      </c>
      <c r="U59" s="118">
        <f t="shared" si="25"/>
        <v>6569.8688227443045</v>
      </c>
      <c r="V59" s="118">
        <f t="shared" si="16"/>
        <v>7270.179354771939</v>
      </c>
      <c r="W59" s="118">
        <f t="shared" si="16"/>
        <v>6986.4597016307516</v>
      </c>
      <c r="X59" s="118">
        <f t="shared" si="16"/>
        <v>8035.6346161141855</v>
      </c>
      <c r="Y59" s="118">
        <f t="shared" si="16"/>
        <v>9394.9323414414048</v>
      </c>
      <c r="Z59" s="118">
        <f t="shared" si="16"/>
        <v>10338.897613458184</v>
      </c>
      <c r="AA59" s="118">
        <f t="shared" si="16"/>
        <v>10461.836044567375</v>
      </c>
    </row>
    <row r="60" spans="1:27" x14ac:dyDescent="0.2">
      <c r="A60" s="20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</row>
    <row r="61" spans="1:27" x14ac:dyDescent="0.2">
      <c r="A61" s="2" t="s">
        <v>148</v>
      </c>
      <c r="B61" s="6"/>
      <c r="D61" s="6">
        <f>SUM(B55:D55)</f>
        <v>4474.9745767485174</v>
      </c>
      <c r="N61" s="192">
        <f>SUM(B61:M61)</f>
        <v>4474.9745767485174</v>
      </c>
      <c r="P61" s="121">
        <v>-0.37436141502604414</v>
      </c>
      <c r="Q61" s="121">
        <f t="shared" si="25"/>
        <v>-0.37436141502604414</v>
      </c>
      <c r="R61" s="121">
        <f t="shared" si="25"/>
        <v>4474.6002153334912</v>
      </c>
      <c r="S61" s="121">
        <f t="shared" si="25"/>
        <v>4474.6002153334912</v>
      </c>
      <c r="T61" s="121">
        <f t="shared" si="25"/>
        <v>4474.6002153334912</v>
      </c>
      <c r="U61" s="121">
        <f t="shared" si="25"/>
        <v>4474.6002153334912</v>
      </c>
      <c r="V61" s="121">
        <f t="shared" si="16"/>
        <v>4474.6002153334912</v>
      </c>
      <c r="W61" s="121">
        <f t="shared" si="16"/>
        <v>4474.6002153334912</v>
      </c>
      <c r="X61" s="121">
        <f t="shared" si="16"/>
        <v>4474.6002153334912</v>
      </c>
      <c r="Y61" s="121">
        <f t="shared" si="16"/>
        <v>4474.6002153334912</v>
      </c>
      <c r="Z61" s="121">
        <f t="shared" si="16"/>
        <v>4474.6002153334912</v>
      </c>
      <c r="AA61" s="121">
        <f t="shared" si="16"/>
        <v>4474.6002153334912</v>
      </c>
    </row>
    <row r="62" spans="1:27" x14ac:dyDescent="0.2">
      <c r="A62" s="2" t="s">
        <v>149</v>
      </c>
      <c r="B62" s="6"/>
      <c r="D62" s="6">
        <f>SUM(B29:D29)</f>
        <v>356.29847099999984</v>
      </c>
      <c r="N62" s="192">
        <f>SUM(B62:M62)</f>
        <v>356.29847099999984</v>
      </c>
      <c r="P62" s="121">
        <v>-1.4557685018888549</v>
      </c>
      <c r="Q62" s="121">
        <f t="shared" si="25"/>
        <v>-1.4557685018888549</v>
      </c>
      <c r="R62" s="121">
        <f t="shared" si="25"/>
        <v>354.84270249811095</v>
      </c>
      <c r="S62" s="121">
        <f t="shared" si="25"/>
        <v>354.84270249811095</v>
      </c>
      <c r="T62" s="121">
        <f t="shared" si="25"/>
        <v>354.84270249811095</v>
      </c>
      <c r="U62" s="121">
        <f t="shared" si="25"/>
        <v>354.84270249811095</v>
      </c>
      <c r="V62" s="121">
        <f t="shared" si="16"/>
        <v>354.84270249811095</v>
      </c>
      <c r="W62" s="121">
        <f t="shared" si="16"/>
        <v>354.84270249811095</v>
      </c>
      <c r="X62" s="121">
        <f t="shared" si="16"/>
        <v>354.84270249811095</v>
      </c>
      <c r="Y62" s="121">
        <f t="shared" si="16"/>
        <v>354.84270249811095</v>
      </c>
      <c r="Z62" s="121">
        <f t="shared" si="16"/>
        <v>354.84270249811095</v>
      </c>
      <c r="AA62" s="121">
        <f t="shared" si="16"/>
        <v>354.84270249811095</v>
      </c>
    </row>
    <row r="63" spans="1:27" x14ac:dyDescent="0.2">
      <c r="B63" s="6"/>
      <c r="D63" s="6">
        <f>D61-D62</f>
        <v>4118.6761057485173</v>
      </c>
      <c r="N63" s="19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</row>
    <row r="64" spans="1:27" x14ac:dyDescent="0.2">
      <c r="A64" s="93" t="str">
        <f>A1</f>
        <v>SPARTAN UK LIMITED</v>
      </c>
      <c r="B64" s="328" t="s">
        <v>1</v>
      </c>
      <c r="C64" s="328" t="s">
        <v>2</v>
      </c>
      <c r="D64" s="328" t="s">
        <v>3</v>
      </c>
      <c r="E64" s="328" t="s">
        <v>4</v>
      </c>
      <c r="F64" s="328" t="s">
        <v>5</v>
      </c>
      <c r="G64" s="328" t="s">
        <v>6</v>
      </c>
      <c r="H64" s="328" t="s">
        <v>7</v>
      </c>
      <c r="I64" s="328" t="s">
        <v>8</v>
      </c>
      <c r="J64" s="328" t="s">
        <v>9</v>
      </c>
      <c r="K64" s="328" t="s">
        <v>10</v>
      </c>
      <c r="L64" s="328" t="s">
        <v>11</v>
      </c>
      <c r="M64" s="328" t="s">
        <v>12</v>
      </c>
      <c r="N64" s="330" t="s">
        <v>13</v>
      </c>
      <c r="P64" s="326" t="s">
        <v>96</v>
      </c>
      <c r="Q64" s="326" t="s">
        <v>97</v>
      </c>
      <c r="R64" s="326" t="s">
        <v>98</v>
      </c>
      <c r="S64" s="326" t="s">
        <v>99</v>
      </c>
      <c r="T64" s="326" t="s">
        <v>5</v>
      </c>
      <c r="U64" s="326" t="s">
        <v>100</v>
      </c>
      <c r="V64" s="326" t="s">
        <v>101</v>
      </c>
      <c r="W64" s="326" t="s">
        <v>102</v>
      </c>
      <c r="X64" s="326" t="s">
        <v>103</v>
      </c>
      <c r="Y64" s="326" t="s">
        <v>104</v>
      </c>
      <c r="Z64" s="326" t="s">
        <v>105</v>
      </c>
      <c r="AA64" s="326" t="s">
        <v>106</v>
      </c>
    </row>
    <row r="65" spans="1:27" x14ac:dyDescent="0.2">
      <c r="A65" s="94" t="str">
        <f>A2</f>
        <v xml:space="preserve">BUSINESS PLAN 2024 - PROFIT &amp; LOSS </v>
      </c>
      <c r="B65" s="329"/>
      <c r="C65" s="329"/>
      <c r="D65" s="329"/>
      <c r="E65" s="329"/>
      <c r="F65" s="329"/>
      <c r="G65" s="329"/>
      <c r="H65" s="329"/>
      <c r="I65" s="329"/>
      <c r="J65" s="329"/>
      <c r="K65" s="329"/>
      <c r="L65" s="329"/>
      <c r="M65" s="329"/>
      <c r="N65" s="331"/>
      <c r="O65" s="38"/>
      <c r="P65" s="327"/>
      <c r="Q65" s="327"/>
      <c r="R65" s="327"/>
      <c r="S65" s="327"/>
      <c r="T65" s="327"/>
      <c r="U65" s="327"/>
      <c r="V65" s="327"/>
      <c r="W65" s="327"/>
      <c r="X65" s="327"/>
      <c r="Y65" s="327"/>
      <c r="Z65" s="327"/>
      <c r="AA65" s="327"/>
    </row>
    <row r="66" spans="1:27" x14ac:dyDescent="0.2">
      <c r="B66" s="227">
        <v>1.27</v>
      </c>
      <c r="C66" s="227">
        <v>1.27</v>
      </c>
      <c r="D66" s="227">
        <v>1.27</v>
      </c>
      <c r="E66" s="227">
        <v>1.27</v>
      </c>
      <c r="F66" s="227">
        <v>1.27</v>
      </c>
      <c r="G66" s="227">
        <v>1.27</v>
      </c>
      <c r="H66" s="227">
        <v>1.27</v>
      </c>
      <c r="I66" s="227">
        <v>1.27</v>
      </c>
      <c r="J66" s="227">
        <v>1.27</v>
      </c>
      <c r="K66" s="227">
        <v>1.27</v>
      </c>
      <c r="L66" s="227">
        <v>1.27</v>
      </c>
      <c r="M66" s="227">
        <v>1.27</v>
      </c>
      <c r="N66" s="95">
        <v>1.2699999999999998</v>
      </c>
      <c r="P66" s="123">
        <f>B66</f>
        <v>1.27</v>
      </c>
      <c r="Q66" s="123">
        <f t="shared" ref="Q66:AA66" si="27">C66</f>
        <v>1.27</v>
      </c>
      <c r="R66" s="123">
        <f t="shared" si="27"/>
        <v>1.27</v>
      </c>
      <c r="S66" s="123">
        <f t="shared" si="27"/>
        <v>1.27</v>
      </c>
      <c r="T66" s="123">
        <f t="shared" si="27"/>
        <v>1.27</v>
      </c>
      <c r="U66" s="123">
        <f t="shared" si="27"/>
        <v>1.27</v>
      </c>
      <c r="V66" s="123">
        <f t="shared" si="27"/>
        <v>1.27</v>
      </c>
      <c r="W66" s="123">
        <f t="shared" si="27"/>
        <v>1.27</v>
      </c>
      <c r="X66" s="123">
        <f t="shared" si="27"/>
        <v>1.27</v>
      </c>
      <c r="Y66" s="123">
        <f t="shared" si="27"/>
        <v>1.27</v>
      </c>
      <c r="Z66" s="123">
        <f t="shared" si="27"/>
        <v>1.27</v>
      </c>
      <c r="AA66" s="123">
        <f t="shared" si="27"/>
        <v>1.27</v>
      </c>
    </row>
    <row r="67" spans="1:27" x14ac:dyDescent="0.2">
      <c r="A67" s="7"/>
      <c r="B67" s="8" t="s">
        <v>150</v>
      </c>
      <c r="C67" s="8" t="s">
        <v>150</v>
      </c>
      <c r="D67" s="8" t="s">
        <v>150</v>
      </c>
      <c r="E67" s="8" t="s">
        <v>150</v>
      </c>
      <c r="F67" s="8" t="s">
        <v>150</v>
      </c>
      <c r="G67" s="8" t="s">
        <v>150</v>
      </c>
      <c r="H67" s="8" t="s">
        <v>150</v>
      </c>
      <c r="I67" s="8" t="s">
        <v>150</v>
      </c>
      <c r="J67" s="8" t="s">
        <v>150</v>
      </c>
      <c r="K67" s="8" t="s">
        <v>150</v>
      </c>
      <c r="L67" s="8" t="s">
        <v>150</v>
      </c>
      <c r="M67" s="8" t="s">
        <v>150</v>
      </c>
      <c r="N67" s="8" t="s">
        <v>150</v>
      </c>
      <c r="P67" s="105" t="s">
        <v>150</v>
      </c>
      <c r="Q67" s="105" t="s">
        <v>150</v>
      </c>
      <c r="R67" s="105" t="s">
        <v>150</v>
      </c>
      <c r="S67" s="105" t="s">
        <v>150</v>
      </c>
      <c r="T67" s="105" t="s">
        <v>150</v>
      </c>
      <c r="U67" s="105" t="s">
        <v>150</v>
      </c>
      <c r="V67" s="105" t="s">
        <v>150</v>
      </c>
      <c r="W67" s="105" t="s">
        <v>150</v>
      </c>
      <c r="X67" s="105" t="s">
        <v>150</v>
      </c>
      <c r="Y67" s="105" t="s">
        <v>150</v>
      </c>
      <c r="Z67" s="105" t="s">
        <v>150</v>
      </c>
      <c r="AA67" s="105" t="s">
        <v>150</v>
      </c>
    </row>
    <row r="68" spans="1:27" x14ac:dyDescent="0.2">
      <c r="A68" s="7" t="s">
        <v>15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</row>
    <row r="69" spans="1:27" x14ac:dyDescent="0.2">
      <c r="A69" s="10" t="s">
        <v>16</v>
      </c>
      <c r="B69" s="96">
        <f>B6*B$66</f>
        <v>17004.694000946645</v>
      </c>
      <c r="C69" s="96">
        <f t="shared" ref="C69:M69" si="28">C6*C$66</f>
        <v>16940.738422973354</v>
      </c>
      <c r="D69" s="96">
        <f t="shared" si="28"/>
        <v>16433.485820989827</v>
      </c>
      <c r="E69" s="96">
        <f t="shared" si="28"/>
        <v>17229.219450439887</v>
      </c>
      <c r="F69" s="96">
        <f t="shared" si="28"/>
        <v>16879.094462213779</v>
      </c>
      <c r="G69" s="96">
        <f t="shared" si="28"/>
        <v>16262.894393051814</v>
      </c>
      <c r="H69" s="96">
        <f t="shared" si="28"/>
        <v>15484.757538093056</v>
      </c>
      <c r="I69" s="96">
        <f t="shared" si="28"/>
        <v>11583.637533240762</v>
      </c>
      <c r="J69" s="96">
        <f t="shared" si="28"/>
        <v>16801.2774865762</v>
      </c>
      <c r="K69" s="96">
        <f t="shared" si="28"/>
        <v>18537.74644699772</v>
      </c>
      <c r="L69" s="96">
        <f t="shared" si="28"/>
        <v>16812.623647470919</v>
      </c>
      <c r="M69" s="96">
        <f t="shared" si="28"/>
        <v>11314.816992335911</v>
      </c>
      <c r="N69" s="96">
        <f t="shared" ref="N69:N123" si="29">SUM(B69:M69)</f>
        <v>191284.9861953299</v>
      </c>
      <c r="P69" s="107">
        <f>B69</f>
        <v>17004.694000946645</v>
      </c>
      <c r="Q69" s="107">
        <f t="shared" si="25"/>
        <v>33945.43242392</v>
      </c>
      <c r="R69" s="107">
        <f t="shared" si="25"/>
        <v>50378.91824490983</v>
      </c>
      <c r="S69" s="107">
        <f t="shared" si="25"/>
        <v>67608.137695349724</v>
      </c>
      <c r="T69" s="107">
        <f t="shared" si="25"/>
        <v>84487.2321575635</v>
      </c>
      <c r="U69" s="107">
        <f t="shared" si="25"/>
        <v>100750.12655061531</v>
      </c>
      <c r="V69" s="107">
        <f t="shared" si="16"/>
        <v>116234.88408870836</v>
      </c>
      <c r="W69" s="107">
        <f t="shared" si="16"/>
        <v>127818.52162194913</v>
      </c>
      <c r="X69" s="107">
        <f t="shared" si="16"/>
        <v>144619.79910852533</v>
      </c>
      <c r="Y69" s="107">
        <f t="shared" si="16"/>
        <v>163157.54555552304</v>
      </c>
      <c r="Z69" s="107">
        <f t="shared" si="16"/>
        <v>179970.16920299397</v>
      </c>
      <c r="AA69" s="107">
        <f t="shared" si="16"/>
        <v>191284.9861953299</v>
      </c>
    </row>
    <row r="70" spans="1:27" x14ac:dyDescent="0.2">
      <c r="A70" s="10" t="s">
        <v>17</v>
      </c>
      <c r="B70" s="96">
        <f t="shared" ref="B70:M70" si="30">B7*B$66</f>
        <v>806.36097562733232</v>
      </c>
      <c r="C70" s="96">
        <f t="shared" si="30"/>
        <v>783.57616590731334</v>
      </c>
      <c r="D70" s="96">
        <f t="shared" si="30"/>
        <v>749.39895132728418</v>
      </c>
      <c r="E70" s="96">
        <f t="shared" si="30"/>
        <v>783.57616590731334</v>
      </c>
      <c r="F70" s="96">
        <f t="shared" si="30"/>
        <v>783.57616590731334</v>
      </c>
      <c r="G70" s="96">
        <f t="shared" si="30"/>
        <v>760.79135618729401</v>
      </c>
      <c r="H70" s="96">
        <f t="shared" si="30"/>
        <v>738.00654646727457</v>
      </c>
      <c r="I70" s="96">
        <f t="shared" si="30"/>
        <v>555.7280687071202</v>
      </c>
      <c r="J70" s="96">
        <f t="shared" si="30"/>
        <v>783.57616590731334</v>
      </c>
      <c r="K70" s="96">
        <f t="shared" si="30"/>
        <v>851.93059506737109</v>
      </c>
      <c r="L70" s="96">
        <f t="shared" si="30"/>
        <v>794.96857076732294</v>
      </c>
      <c r="M70" s="96">
        <f t="shared" si="30"/>
        <v>555.7280687071202</v>
      </c>
      <c r="N70" s="96">
        <f t="shared" si="29"/>
        <v>8947.2177964873717</v>
      </c>
      <c r="P70" s="108">
        <f>B70</f>
        <v>806.36097562733232</v>
      </c>
      <c r="Q70" s="108">
        <f t="shared" si="25"/>
        <v>1589.9371415346457</v>
      </c>
      <c r="R70" s="108">
        <f t="shared" si="25"/>
        <v>2339.33609286193</v>
      </c>
      <c r="S70" s="108">
        <f t="shared" si="25"/>
        <v>3122.9122587692432</v>
      </c>
      <c r="T70" s="108">
        <f t="shared" si="25"/>
        <v>3906.4884246765564</v>
      </c>
      <c r="U70" s="108">
        <f t="shared" si="25"/>
        <v>4667.2797808638506</v>
      </c>
      <c r="V70" s="108">
        <f t="shared" si="16"/>
        <v>5405.286327331125</v>
      </c>
      <c r="W70" s="108">
        <f t="shared" si="16"/>
        <v>5961.0143960382447</v>
      </c>
      <c r="X70" s="108">
        <f t="shared" si="16"/>
        <v>6744.590561945558</v>
      </c>
      <c r="Y70" s="108">
        <f t="shared" si="16"/>
        <v>7596.5211570129286</v>
      </c>
      <c r="Z70" s="108">
        <f t="shared" si="16"/>
        <v>8391.489727780252</v>
      </c>
      <c r="AA70" s="108">
        <f t="shared" si="16"/>
        <v>8947.2177964873717</v>
      </c>
    </row>
    <row r="71" spans="1:27" x14ac:dyDescent="0.2">
      <c r="A71" s="10" t="s">
        <v>18</v>
      </c>
      <c r="B71" s="96">
        <f t="shared" ref="B71:M73" si="31">B8*B$66</f>
        <v>94.324920719698213</v>
      </c>
      <c r="C71" s="96">
        <f t="shared" si="31"/>
        <v>94.121576255623552</v>
      </c>
      <c r="D71" s="96">
        <f t="shared" si="31"/>
        <v>91.389776072872351</v>
      </c>
      <c r="E71" s="96">
        <f t="shared" si="31"/>
        <v>95.823614317676061</v>
      </c>
      <c r="F71" s="96">
        <f t="shared" si="31"/>
        <v>93.757876887142061</v>
      </c>
      <c r="G71" s="96">
        <f t="shared" si="31"/>
        <v>90.296289925054225</v>
      </c>
      <c r="H71" s="96">
        <f t="shared" si="31"/>
        <v>85.879275926765274</v>
      </c>
      <c r="I71" s="96">
        <f t="shared" si="31"/>
        <v>64.254615465878629</v>
      </c>
      <c r="J71" s="96">
        <f t="shared" si="31"/>
        <v>93.298756730880314</v>
      </c>
      <c r="K71" s="96">
        <f t="shared" si="31"/>
        <v>103.02194325946407</v>
      </c>
      <c r="L71" s="96">
        <f t="shared" si="31"/>
        <v>93.278702357175291</v>
      </c>
      <c r="M71" s="96">
        <f t="shared" si="31"/>
        <v>62.668574274540006</v>
      </c>
      <c r="N71" s="96">
        <f t="shared" si="29"/>
        <v>1062.1159221927701</v>
      </c>
      <c r="P71" s="109">
        <f>B71</f>
        <v>94.324920719698213</v>
      </c>
      <c r="Q71" s="109">
        <f t="shared" si="25"/>
        <v>188.44649697532176</v>
      </c>
      <c r="R71" s="109">
        <f t="shared" si="25"/>
        <v>279.83627304819413</v>
      </c>
      <c r="S71" s="109">
        <f t="shared" si="25"/>
        <v>375.65988736587019</v>
      </c>
      <c r="T71" s="109">
        <f t="shared" si="25"/>
        <v>469.41776425301225</v>
      </c>
      <c r="U71" s="109">
        <f t="shared" si="25"/>
        <v>559.71405417806648</v>
      </c>
      <c r="V71" s="109">
        <f t="shared" si="16"/>
        <v>645.59333010483169</v>
      </c>
      <c r="W71" s="109">
        <f t="shared" si="16"/>
        <v>709.84794557071029</v>
      </c>
      <c r="X71" s="109">
        <f t="shared" si="16"/>
        <v>803.14670230159061</v>
      </c>
      <c r="Y71" s="109">
        <f t="shared" si="16"/>
        <v>906.16864556105463</v>
      </c>
      <c r="Z71" s="109">
        <f t="shared" si="16"/>
        <v>999.44734791822998</v>
      </c>
      <c r="AA71" s="109">
        <f t="shared" si="16"/>
        <v>1062.1159221927701</v>
      </c>
    </row>
    <row r="72" spans="1:27" x14ac:dyDescent="0.2">
      <c r="A72" s="16" t="s">
        <v>19</v>
      </c>
      <c r="B72" s="17">
        <f t="shared" ref="B72:M72" si="32">SUM(B69:B71)</f>
        <v>17905.379897293675</v>
      </c>
      <c r="C72" s="17">
        <f t="shared" si="32"/>
        <v>17818.436165136292</v>
      </c>
      <c r="D72" s="17">
        <f t="shared" si="32"/>
        <v>17274.274548389982</v>
      </c>
      <c r="E72" s="17">
        <f t="shared" si="32"/>
        <v>18108.619230664877</v>
      </c>
      <c r="F72" s="17">
        <f t="shared" si="32"/>
        <v>17756.428505008236</v>
      </c>
      <c r="G72" s="17">
        <f t="shared" si="32"/>
        <v>17113.982039164162</v>
      </c>
      <c r="H72" s="17">
        <f t="shared" si="32"/>
        <v>16308.643360487096</v>
      </c>
      <c r="I72" s="17">
        <f t="shared" si="32"/>
        <v>12203.620217413762</v>
      </c>
      <c r="J72" s="17">
        <f t="shared" si="32"/>
        <v>17678.152409214395</v>
      </c>
      <c r="K72" s="17">
        <f t="shared" si="32"/>
        <v>19492.698985324554</v>
      </c>
      <c r="L72" s="17">
        <f t="shared" si="32"/>
        <v>17700.870920595418</v>
      </c>
      <c r="M72" s="17">
        <f t="shared" si="32"/>
        <v>11933.21363531757</v>
      </c>
      <c r="N72" s="17">
        <f t="shared" si="29"/>
        <v>201294.31991401003</v>
      </c>
      <c r="P72" s="110">
        <f>B72</f>
        <v>17905.379897293675</v>
      </c>
      <c r="Q72" s="110">
        <f t="shared" si="25"/>
        <v>35723.816062429963</v>
      </c>
      <c r="R72" s="110">
        <f t="shared" si="25"/>
        <v>52998.090610819942</v>
      </c>
      <c r="S72" s="110">
        <f t="shared" si="25"/>
        <v>71106.709841484815</v>
      </c>
      <c r="T72" s="110">
        <f t="shared" si="25"/>
        <v>88863.138346493055</v>
      </c>
      <c r="U72" s="110">
        <f t="shared" si="25"/>
        <v>105977.12038565721</v>
      </c>
      <c r="V72" s="110">
        <f t="shared" si="16"/>
        <v>122285.76374614431</v>
      </c>
      <c r="W72" s="110">
        <f t="shared" si="16"/>
        <v>134489.38396355807</v>
      </c>
      <c r="X72" s="110">
        <f t="shared" si="16"/>
        <v>152167.53637277248</v>
      </c>
      <c r="Y72" s="110">
        <f t="shared" si="16"/>
        <v>171660.23535809704</v>
      </c>
      <c r="Z72" s="110">
        <f t="shared" si="16"/>
        <v>189361.10627869246</v>
      </c>
      <c r="AA72" s="110">
        <f t="shared" si="16"/>
        <v>201294.31991401003</v>
      </c>
    </row>
    <row r="73" spans="1:27" x14ac:dyDescent="0.2">
      <c r="A73" s="10" t="s">
        <v>20</v>
      </c>
      <c r="B73" s="96">
        <f t="shared" si="31"/>
        <v>990.20543791149623</v>
      </c>
      <c r="C73" s="96">
        <f t="shared" si="31"/>
        <v>1014.8121090889595</v>
      </c>
      <c r="D73" s="96">
        <f t="shared" si="31"/>
        <v>1029.9370982890596</v>
      </c>
      <c r="E73" s="96">
        <f t="shared" si="31"/>
        <v>1031.3388842796548</v>
      </c>
      <c r="F73" s="96">
        <f t="shared" si="31"/>
        <v>1011.280591296318</v>
      </c>
      <c r="G73" s="96">
        <f t="shared" si="31"/>
        <v>1004.68188821346</v>
      </c>
      <c r="H73" s="96">
        <f t="shared" si="31"/>
        <v>987.79800357510692</v>
      </c>
      <c r="I73" s="96">
        <f t="shared" si="31"/>
        <v>990.79015759691504</v>
      </c>
      <c r="J73" s="96">
        <f t="shared" si="31"/>
        <v>1006.8225384611752</v>
      </c>
      <c r="K73" s="96">
        <f t="shared" si="31"/>
        <v>1018.9197352158751</v>
      </c>
      <c r="L73" s="96">
        <f t="shared" si="31"/>
        <v>993.29118266807325</v>
      </c>
      <c r="M73" s="96">
        <f t="shared" si="31"/>
        <v>968.83632952645212</v>
      </c>
      <c r="N73" s="96">
        <f t="shared" si="29"/>
        <v>12048.713956122547</v>
      </c>
      <c r="P73" s="124">
        <f>B73</f>
        <v>990.20543791149623</v>
      </c>
      <c r="Q73" s="124">
        <f t="shared" ref="Q73:AA73" si="33">C73</f>
        <v>1014.8121090889595</v>
      </c>
      <c r="R73" s="124">
        <f t="shared" si="33"/>
        <v>1029.9370982890596</v>
      </c>
      <c r="S73" s="124">
        <f t="shared" si="33"/>
        <v>1031.3388842796548</v>
      </c>
      <c r="T73" s="124">
        <f t="shared" si="33"/>
        <v>1011.280591296318</v>
      </c>
      <c r="U73" s="124">
        <f t="shared" si="33"/>
        <v>1004.68188821346</v>
      </c>
      <c r="V73" s="124">
        <f t="shared" si="33"/>
        <v>987.79800357510692</v>
      </c>
      <c r="W73" s="124">
        <f t="shared" si="33"/>
        <v>990.79015759691504</v>
      </c>
      <c r="X73" s="124">
        <f t="shared" si="33"/>
        <v>1006.8225384611752</v>
      </c>
      <c r="Y73" s="124">
        <f t="shared" si="33"/>
        <v>1018.9197352158751</v>
      </c>
      <c r="Z73" s="124">
        <f t="shared" si="33"/>
        <v>993.29118266807325</v>
      </c>
      <c r="AA73" s="124">
        <f t="shared" si="33"/>
        <v>968.83632952645212</v>
      </c>
    </row>
    <row r="74" spans="1:27" x14ac:dyDescent="0.2">
      <c r="A74" s="10"/>
      <c r="B74" s="98"/>
      <c r="C74" s="98"/>
      <c r="D74" s="98"/>
      <c r="E74" s="98"/>
      <c r="F74" s="98"/>
      <c r="G74" s="98"/>
      <c r="H74" s="98"/>
      <c r="I74" s="98"/>
      <c r="J74" s="98"/>
      <c r="K74" s="98"/>
      <c r="L74" s="12"/>
      <c r="M74" s="12"/>
      <c r="N74" s="17">
        <f t="shared" si="29"/>
        <v>0</v>
      </c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</row>
    <row r="75" spans="1:27" x14ac:dyDescent="0.2">
      <c r="A75" s="10" t="s">
        <v>21</v>
      </c>
      <c r="B75" s="96">
        <f t="shared" ref="B75:M75" si="34">B12*B$66</f>
        <v>493.09937523297873</v>
      </c>
      <c r="C75" s="96">
        <f t="shared" si="34"/>
        <v>478.80663971897951</v>
      </c>
      <c r="D75" s="96">
        <f t="shared" si="34"/>
        <v>457.36753644797966</v>
      </c>
      <c r="E75" s="96">
        <f t="shared" si="34"/>
        <v>478.80663971897951</v>
      </c>
      <c r="F75" s="96">
        <f t="shared" si="34"/>
        <v>478.80663971897951</v>
      </c>
      <c r="G75" s="96">
        <f t="shared" si="34"/>
        <v>464.51390420497927</v>
      </c>
      <c r="H75" s="96">
        <f t="shared" si="34"/>
        <v>450.22116869097999</v>
      </c>
      <c r="I75" s="96">
        <f t="shared" si="34"/>
        <v>335.87928457898516</v>
      </c>
      <c r="J75" s="96">
        <f t="shared" si="34"/>
        <v>478.80663971897951</v>
      </c>
      <c r="K75" s="96">
        <f t="shared" si="34"/>
        <v>521.68484626097688</v>
      </c>
      <c r="L75" s="96">
        <f t="shared" si="34"/>
        <v>485.95300747597912</v>
      </c>
      <c r="M75" s="96">
        <f t="shared" si="34"/>
        <v>335.87928457898516</v>
      </c>
      <c r="N75" s="96">
        <f t="shared" si="29"/>
        <v>5459.8249663477618</v>
      </c>
      <c r="P75" s="107">
        <f>B75</f>
        <v>493.09937523297873</v>
      </c>
      <c r="Q75" s="107">
        <f t="shared" ref="Q75:AA133" si="35">P75+C75</f>
        <v>971.90601495195824</v>
      </c>
      <c r="R75" s="107">
        <f t="shared" si="25"/>
        <v>1429.2735513999378</v>
      </c>
      <c r="S75" s="107">
        <f t="shared" si="25"/>
        <v>1908.0801911189174</v>
      </c>
      <c r="T75" s="107">
        <f t="shared" si="25"/>
        <v>2386.8868308378969</v>
      </c>
      <c r="U75" s="107">
        <f t="shared" si="25"/>
        <v>2851.400735042876</v>
      </c>
      <c r="V75" s="107">
        <f t="shared" si="16"/>
        <v>3301.621903733856</v>
      </c>
      <c r="W75" s="107">
        <f t="shared" si="16"/>
        <v>3637.5011883128414</v>
      </c>
      <c r="X75" s="107">
        <f t="shared" si="16"/>
        <v>4116.3078280318205</v>
      </c>
      <c r="Y75" s="107">
        <f t="shared" si="16"/>
        <v>4637.9926742927973</v>
      </c>
      <c r="Z75" s="107">
        <f t="shared" si="16"/>
        <v>5123.9456817687769</v>
      </c>
      <c r="AA75" s="107">
        <f t="shared" si="16"/>
        <v>5459.8249663477618</v>
      </c>
    </row>
    <row r="76" spans="1:27" x14ac:dyDescent="0.2">
      <c r="A76" s="10" t="s">
        <v>22</v>
      </c>
      <c r="B76" s="96">
        <f t="shared" ref="B76:M76" si="36">B13*B$66</f>
        <v>0</v>
      </c>
      <c r="C76" s="96">
        <f t="shared" si="36"/>
        <v>0</v>
      </c>
      <c r="D76" s="96">
        <f t="shared" si="36"/>
        <v>0</v>
      </c>
      <c r="E76" s="96">
        <f t="shared" si="36"/>
        <v>0</v>
      </c>
      <c r="F76" s="96">
        <f t="shared" si="36"/>
        <v>0</v>
      </c>
      <c r="G76" s="96">
        <f t="shared" si="36"/>
        <v>0</v>
      </c>
      <c r="H76" s="96">
        <f t="shared" si="36"/>
        <v>0</v>
      </c>
      <c r="I76" s="96">
        <f t="shared" si="36"/>
        <v>0</v>
      </c>
      <c r="J76" s="96">
        <f t="shared" si="36"/>
        <v>0</v>
      </c>
      <c r="K76" s="96">
        <f t="shared" si="36"/>
        <v>0</v>
      </c>
      <c r="L76" s="96">
        <f t="shared" si="36"/>
        <v>0</v>
      </c>
      <c r="M76" s="96">
        <f t="shared" si="36"/>
        <v>0</v>
      </c>
      <c r="N76" s="96">
        <f t="shared" si="29"/>
        <v>0</v>
      </c>
      <c r="P76" s="107">
        <f>B76</f>
        <v>0</v>
      </c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</row>
    <row r="77" spans="1:27" x14ac:dyDescent="0.2">
      <c r="A77" s="20" t="s">
        <v>23</v>
      </c>
      <c r="B77" s="21">
        <f>+B75+B76</f>
        <v>493.09937523297873</v>
      </c>
      <c r="C77" s="21">
        <f t="shared" ref="C77:M77" si="37">+C75+C76</f>
        <v>478.80663971897951</v>
      </c>
      <c r="D77" s="21">
        <f t="shared" si="37"/>
        <v>457.36753644797966</v>
      </c>
      <c r="E77" s="21">
        <f t="shared" si="37"/>
        <v>478.80663971897951</v>
      </c>
      <c r="F77" s="21">
        <f t="shared" si="37"/>
        <v>478.80663971897951</v>
      </c>
      <c r="G77" s="21">
        <f t="shared" si="37"/>
        <v>464.51390420497927</v>
      </c>
      <c r="H77" s="21">
        <f t="shared" si="37"/>
        <v>450.22116869097999</v>
      </c>
      <c r="I77" s="21">
        <f t="shared" si="37"/>
        <v>335.87928457898516</v>
      </c>
      <c r="J77" s="21">
        <f t="shared" si="37"/>
        <v>478.80663971897951</v>
      </c>
      <c r="K77" s="21">
        <f t="shared" si="37"/>
        <v>521.68484626097688</v>
      </c>
      <c r="L77" s="21">
        <f t="shared" si="37"/>
        <v>485.95300747597912</v>
      </c>
      <c r="M77" s="21">
        <f t="shared" si="37"/>
        <v>335.87928457898516</v>
      </c>
      <c r="N77" s="21">
        <f t="shared" si="29"/>
        <v>5459.8249663477618</v>
      </c>
      <c r="P77" s="113">
        <f>B77</f>
        <v>493.09937523297873</v>
      </c>
      <c r="Q77" s="113">
        <f t="shared" si="35"/>
        <v>971.90601495195824</v>
      </c>
      <c r="R77" s="113">
        <f t="shared" si="25"/>
        <v>1429.2735513999378</v>
      </c>
      <c r="S77" s="113">
        <f t="shared" si="25"/>
        <v>1908.0801911189174</v>
      </c>
      <c r="T77" s="113">
        <f t="shared" si="25"/>
        <v>2386.8868308378969</v>
      </c>
      <c r="U77" s="113">
        <f t="shared" si="25"/>
        <v>2851.400735042876</v>
      </c>
      <c r="V77" s="113">
        <f t="shared" si="16"/>
        <v>3301.621903733856</v>
      </c>
      <c r="W77" s="113">
        <f t="shared" si="16"/>
        <v>3637.5011883128414</v>
      </c>
      <c r="X77" s="113">
        <f t="shared" si="16"/>
        <v>4116.3078280318205</v>
      </c>
      <c r="Y77" s="113">
        <f t="shared" si="16"/>
        <v>4637.9926742927973</v>
      </c>
      <c r="Z77" s="113">
        <f t="shared" si="16"/>
        <v>5123.9456817687769</v>
      </c>
      <c r="AA77" s="113">
        <f t="shared" si="16"/>
        <v>5459.8249663477618</v>
      </c>
    </row>
    <row r="78" spans="1:27" x14ac:dyDescent="0.2">
      <c r="A78" s="10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21"/>
      <c r="M78" s="21"/>
      <c r="N78" s="9">
        <f t="shared" si="29"/>
        <v>0</v>
      </c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</row>
    <row r="79" spans="1:27" x14ac:dyDescent="0.2">
      <c r="A79" s="30" t="s">
        <v>24</v>
      </c>
      <c r="B79" s="228">
        <f t="shared" ref="B79:M79" si="38">+B77+B72</f>
        <v>18398.479272526652</v>
      </c>
      <c r="C79" s="228">
        <f t="shared" si="38"/>
        <v>18297.242804855272</v>
      </c>
      <c r="D79" s="228">
        <f t="shared" si="38"/>
        <v>17731.64208483796</v>
      </c>
      <c r="E79" s="228">
        <f t="shared" si="38"/>
        <v>18587.425870383857</v>
      </c>
      <c r="F79" s="228">
        <f t="shared" si="38"/>
        <v>18235.235144727216</v>
      </c>
      <c r="G79" s="228">
        <f t="shared" si="38"/>
        <v>17578.49594336914</v>
      </c>
      <c r="H79" s="228">
        <f t="shared" si="38"/>
        <v>16758.864529178078</v>
      </c>
      <c r="I79" s="228">
        <f t="shared" si="38"/>
        <v>12539.499501992746</v>
      </c>
      <c r="J79" s="228">
        <f t="shared" si="38"/>
        <v>18156.959048933375</v>
      </c>
      <c r="K79" s="228">
        <f t="shared" si="38"/>
        <v>20014.383831585532</v>
      </c>
      <c r="L79" s="228">
        <f t="shared" si="38"/>
        <v>18186.823928071397</v>
      </c>
      <c r="M79" s="228">
        <f t="shared" si="38"/>
        <v>12269.092919896555</v>
      </c>
      <c r="N79" s="228">
        <f t="shared" si="29"/>
        <v>206754.14488035778</v>
      </c>
      <c r="P79" s="241">
        <f>B79</f>
        <v>18398.479272526652</v>
      </c>
      <c r="Q79" s="241">
        <f t="shared" si="35"/>
        <v>36695.722077381928</v>
      </c>
      <c r="R79" s="241">
        <f t="shared" si="25"/>
        <v>54427.364162219892</v>
      </c>
      <c r="S79" s="241">
        <f t="shared" si="25"/>
        <v>73014.790032603749</v>
      </c>
      <c r="T79" s="241">
        <f t="shared" si="25"/>
        <v>91250.025177330972</v>
      </c>
      <c r="U79" s="241">
        <f t="shared" si="25"/>
        <v>108828.52112070011</v>
      </c>
      <c r="V79" s="241">
        <f t="shared" si="16"/>
        <v>125587.38564987818</v>
      </c>
      <c r="W79" s="241">
        <f t="shared" si="16"/>
        <v>138126.88515187093</v>
      </c>
      <c r="X79" s="241">
        <f t="shared" si="16"/>
        <v>156283.84420080431</v>
      </c>
      <c r="Y79" s="241">
        <f t="shared" si="16"/>
        <v>176298.22803238983</v>
      </c>
      <c r="Z79" s="241">
        <f t="shared" si="16"/>
        <v>194485.05196046122</v>
      </c>
      <c r="AA79" s="241">
        <f t="shared" si="16"/>
        <v>206754.14488035778</v>
      </c>
    </row>
    <row r="80" spans="1:27" x14ac:dyDescent="0.2">
      <c r="A80" s="20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23"/>
      <c r="M80" s="23"/>
      <c r="N80" s="23">
        <f t="shared" si="29"/>
        <v>0</v>
      </c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</row>
    <row r="81" spans="1:27" x14ac:dyDescent="0.2">
      <c r="A81" s="16" t="s">
        <v>25</v>
      </c>
      <c r="B81" s="97"/>
      <c r="C81" s="97"/>
      <c r="D81" s="98"/>
      <c r="E81" s="98"/>
      <c r="F81" s="98"/>
      <c r="G81" s="98"/>
      <c r="H81" s="98"/>
      <c r="I81" s="98"/>
      <c r="J81" s="98"/>
      <c r="K81" s="98"/>
      <c r="L81" s="12"/>
      <c r="M81" s="12"/>
      <c r="N81" s="24">
        <f t="shared" si="29"/>
        <v>0</v>
      </c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</row>
    <row r="82" spans="1:27" x14ac:dyDescent="0.2">
      <c r="A82" s="10" t="s">
        <v>26</v>
      </c>
      <c r="B82" s="96">
        <f t="shared" ref="B82:M83" si="39">B19*B$66</f>
        <v>12975.901854773867</v>
      </c>
      <c r="C82" s="96">
        <f t="shared" si="39"/>
        <v>12599.788757534046</v>
      </c>
      <c r="D82" s="96">
        <f t="shared" si="39"/>
        <v>12035.619111674312</v>
      </c>
      <c r="E82" s="96">
        <f t="shared" si="39"/>
        <v>13026.88723836371</v>
      </c>
      <c r="F82" s="96">
        <f t="shared" si="39"/>
        <v>12942.353784588642</v>
      </c>
      <c r="G82" s="96">
        <f t="shared" si="39"/>
        <v>12512.080901130399</v>
      </c>
      <c r="H82" s="96">
        <f t="shared" si="39"/>
        <v>12074.881347971952</v>
      </c>
      <c r="I82" s="96">
        <f t="shared" si="39"/>
        <v>8980.1077662311345</v>
      </c>
      <c r="J82" s="96">
        <f t="shared" si="39"/>
        <v>12762.182544979521</v>
      </c>
      <c r="K82" s="96">
        <f t="shared" si="39"/>
        <v>13818.147595560795</v>
      </c>
      <c r="L82" s="96">
        <f t="shared" si="39"/>
        <v>12837.993893744824</v>
      </c>
      <c r="M82" s="96">
        <f t="shared" si="39"/>
        <v>8850.6281404259371</v>
      </c>
      <c r="N82" s="96">
        <f t="shared" si="29"/>
        <v>145416.57293697915</v>
      </c>
      <c r="P82" s="107">
        <f t="shared" ref="P82:AA83" si="40">B82</f>
        <v>12975.901854773867</v>
      </c>
      <c r="Q82" s="107">
        <f t="shared" si="35"/>
        <v>25575.690612307913</v>
      </c>
      <c r="R82" s="107">
        <f t="shared" si="25"/>
        <v>37611.309723982224</v>
      </c>
      <c r="S82" s="107">
        <f t="shared" si="25"/>
        <v>50638.19696234593</v>
      </c>
      <c r="T82" s="107">
        <f t="shared" si="25"/>
        <v>63580.550746934576</v>
      </c>
      <c r="U82" s="107">
        <f t="shared" si="25"/>
        <v>76092.631648064969</v>
      </c>
      <c r="V82" s="107">
        <f t="shared" si="16"/>
        <v>88167.512996036923</v>
      </c>
      <c r="W82" s="107">
        <f t="shared" si="16"/>
        <v>97147.620762268052</v>
      </c>
      <c r="X82" s="107">
        <f t="shared" si="16"/>
        <v>109909.80330724758</v>
      </c>
      <c r="Y82" s="107">
        <f t="shared" si="16"/>
        <v>123727.95090280837</v>
      </c>
      <c r="Z82" s="107">
        <f t="shared" si="16"/>
        <v>136565.9447965532</v>
      </c>
      <c r="AA82" s="107">
        <f t="shared" si="16"/>
        <v>145416.57293697915</v>
      </c>
    </row>
    <row r="83" spans="1:27" x14ac:dyDescent="0.2">
      <c r="A83" s="18" t="s">
        <v>27</v>
      </c>
      <c r="B83" s="96">
        <f t="shared" si="39"/>
        <v>664.43968506923011</v>
      </c>
      <c r="C83" s="96">
        <f t="shared" si="39"/>
        <v>664.43968506923011</v>
      </c>
      <c r="D83" s="96">
        <f t="shared" si="39"/>
        <v>664.43968506923011</v>
      </c>
      <c r="E83" s="96">
        <f t="shared" si="39"/>
        <v>686.96237854901733</v>
      </c>
      <c r="F83" s="96">
        <f t="shared" si="39"/>
        <v>682.50457512985008</v>
      </c>
      <c r="G83" s="96">
        <f t="shared" si="39"/>
        <v>680.11646615529594</v>
      </c>
      <c r="H83" s="96">
        <f t="shared" si="39"/>
        <v>677.18826698699456</v>
      </c>
      <c r="I83" s="96">
        <f t="shared" si="39"/>
        <v>675.0730847523896</v>
      </c>
      <c r="J83" s="96">
        <f t="shared" si="39"/>
        <v>673.00339030777639</v>
      </c>
      <c r="K83" s="96">
        <f t="shared" si="39"/>
        <v>668.79661988101884</v>
      </c>
      <c r="L83" s="96">
        <f t="shared" si="39"/>
        <v>667.04533996634609</v>
      </c>
      <c r="M83" s="96">
        <f t="shared" si="39"/>
        <v>665.33954784166451</v>
      </c>
      <c r="N83" s="96">
        <f t="shared" si="29"/>
        <v>8069.3487247780431</v>
      </c>
      <c r="P83" s="115">
        <f t="shared" si="40"/>
        <v>664.43968506923011</v>
      </c>
      <c r="Q83" s="115">
        <f t="shared" si="40"/>
        <v>664.43968506923011</v>
      </c>
      <c r="R83" s="115">
        <f t="shared" si="40"/>
        <v>664.43968506923011</v>
      </c>
      <c r="S83" s="115">
        <f t="shared" si="40"/>
        <v>686.96237854901733</v>
      </c>
      <c r="T83" s="115">
        <f t="shared" si="40"/>
        <v>682.50457512985008</v>
      </c>
      <c r="U83" s="115">
        <f t="shared" si="40"/>
        <v>680.11646615529594</v>
      </c>
      <c r="V83" s="115">
        <f t="shared" si="40"/>
        <v>677.18826698699456</v>
      </c>
      <c r="W83" s="115">
        <f t="shared" si="40"/>
        <v>675.0730847523896</v>
      </c>
      <c r="X83" s="115">
        <f t="shared" si="40"/>
        <v>673.00339030777639</v>
      </c>
      <c r="Y83" s="115">
        <f t="shared" si="40"/>
        <v>668.79661988101884</v>
      </c>
      <c r="Z83" s="115">
        <f t="shared" si="40"/>
        <v>667.04533996634609</v>
      </c>
      <c r="AA83" s="115">
        <f t="shared" si="40"/>
        <v>665.33954784166451</v>
      </c>
    </row>
    <row r="84" spans="1:27" x14ac:dyDescent="0.2">
      <c r="A84" s="29"/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28"/>
      <c r="M84" s="28"/>
      <c r="N84" s="189">
        <f t="shared" si="29"/>
        <v>0</v>
      </c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</row>
    <row r="85" spans="1:27" x14ac:dyDescent="0.2">
      <c r="A85" s="10" t="s">
        <v>28</v>
      </c>
      <c r="B85" s="96">
        <f t="shared" ref="B85:M85" si="41">B22*B$66</f>
        <v>397.67430292516605</v>
      </c>
      <c r="C85" s="96">
        <f t="shared" si="41"/>
        <v>381.01068489143535</v>
      </c>
      <c r="D85" s="96">
        <f t="shared" si="41"/>
        <v>381.01068489143535</v>
      </c>
      <c r="E85" s="96">
        <f t="shared" si="41"/>
        <v>389.34249390830064</v>
      </c>
      <c r="F85" s="96">
        <f t="shared" si="41"/>
        <v>397.67430292516605</v>
      </c>
      <c r="G85" s="96">
        <f t="shared" si="41"/>
        <v>376.66761607491514</v>
      </c>
      <c r="H85" s="96">
        <f t="shared" si="41"/>
        <v>368.69013567422479</v>
      </c>
      <c r="I85" s="96">
        <f t="shared" si="41"/>
        <v>389.34249390830064</v>
      </c>
      <c r="J85" s="96">
        <f t="shared" si="41"/>
        <v>381.01068489143535</v>
      </c>
      <c r="K85" s="96">
        <f t="shared" si="41"/>
        <v>397.67430292516605</v>
      </c>
      <c r="L85" s="96">
        <f t="shared" si="41"/>
        <v>384.99942509178055</v>
      </c>
      <c r="M85" s="96">
        <f t="shared" si="41"/>
        <v>381.36501350761034</v>
      </c>
      <c r="N85" s="96">
        <f t="shared" si="29"/>
        <v>4626.4621416149357</v>
      </c>
      <c r="P85" s="112">
        <f t="shared" ref="P85:P92" si="42">B85</f>
        <v>397.67430292516605</v>
      </c>
      <c r="Q85" s="112">
        <f t="shared" si="35"/>
        <v>778.68498781660139</v>
      </c>
      <c r="R85" s="112">
        <f t="shared" si="25"/>
        <v>1159.6956727080367</v>
      </c>
      <c r="S85" s="112">
        <f t="shared" si="25"/>
        <v>1549.0381666163373</v>
      </c>
      <c r="T85" s="112">
        <f t="shared" si="25"/>
        <v>1946.7124695415034</v>
      </c>
      <c r="U85" s="112">
        <f t="shared" si="25"/>
        <v>2323.3800856164185</v>
      </c>
      <c r="V85" s="112">
        <f t="shared" si="16"/>
        <v>2692.0702212906431</v>
      </c>
      <c r="W85" s="112">
        <f t="shared" si="16"/>
        <v>3081.4127151989437</v>
      </c>
      <c r="X85" s="112">
        <f t="shared" si="16"/>
        <v>3462.4234000903789</v>
      </c>
      <c r="Y85" s="112">
        <f t="shared" si="16"/>
        <v>3860.097703015545</v>
      </c>
      <c r="Z85" s="112">
        <f t="shared" si="16"/>
        <v>4245.0971281073253</v>
      </c>
      <c r="AA85" s="112">
        <f t="shared" si="16"/>
        <v>4626.4621416149357</v>
      </c>
    </row>
    <row r="86" spans="1:27" x14ac:dyDescent="0.2">
      <c r="A86" s="10" t="s">
        <v>29</v>
      </c>
      <c r="B86" s="96">
        <f t="shared" ref="B86:M86" si="43">B23*B$66</f>
        <v>965.86272988421433</v>
      </c>
      <c r="C86" s="96">
        <f t="shared" si="43"/>
        <v>936.0425415558127</v>
      </c>
      <c r="D86" s="96">
        <f t="shared" si="43"/>
        <v>899.64539364150983</v>
      </c>
      <c r="E86" s="96">
        <f t="shared" si="43"/>
        <v>818.67628955094631</v>
      </c>
      <c r="F86" s="96">
        <f t="shared" si="43"/>
        <v>820.34294865094648</v>
      </c>
      <c r="G86" s="96">
        <f t="shared" si="43"/>
        <v>795.74264064955537</v>
      </c>
      <c r="H86" s="96">
        <f t="shared" si="43"/>
        <v>774.47520532581416</v>
      </c>
      <c r="I86" s="96">
        <f t="shared" si="43"/>
        <v>611.66165969182293</v>
      </c>
      <c r="J86" s="96">
        <f t="shared" si="43"/>
        <v>818.67628955094631</v>
      </c>
      <c r="K86" s="96">
        <f t="shared" si="43"/>
        <v>1018.8369156633679</v>
      </c>
      <c r="L86" s="96">
        <f t="shared" si="43"/>
        <v>950.95279664171346</v>
      </c>
      <c r="M86" s="96">
        <f t="shared" si="43"/>
        <v>674.37430906134387</v>
      </c>
      <c r="N86" s="96">
        <f t="shared" si="29"/>
        <v>10085.289719867995</v>
      </c>
      <c r="P86" s="112">
        <f t="shared" si="42"/>
        <v>965.86272988421433</v>
      </c>
      <c r="Q86" s="112">
        <f t="shared" si="35"/>
        <v>1901.905271440027</v>
      </c>
      <c r="R86" s="112">
        <f t="shared" si="25"/>
        <v>2801.5506650815369</v>
      </c>
      <c r="S86" s="112">
        <f t="shared" si="25"/>
        <v>3620.2269546324833</v>
      </c>
      <c r="T86" s="112">
        <f t="shared" si="25"/>
        <v>4440.56990328343</v>
      </c>
      <c r="U86" s="112">
        <f t="shared" si="25"/>
        <v>5236.3125439329851</v>
      </c>
      <c r="V86" s="112">
        <f t="shared" si="16"/>
        <v>6010.7877492587995</v>
      </c>
      <c r="W86" s="112">
        <f t="shared" si="16"/>
        <v>6622.4494089506225</v>
      </c>
      <c r="X86" s="112">
        <f t="shared" si="16"/>
        <v>7441.1256985015689</v>
      </c>
      <c r="Y86" s="112">
        <f t="shared" si="16"/>
        <v>8459.9626141649369</v>
      </c>
      <c r="Z86" s="112">
        <f t="shared" si="16"/>
        <v>9410.9154108066505</v>
      </c>
      <c r="AA86" s="112">
        <f t="shared" si="16"/>
        <v>10085.289719867995</v>
      </c>
    </row>
    <row r="87" spans="1:27" x14ac:dyDescent="0.2">
      <c r="A87" s="10" t="s">
        <v>30</v>
      </c>
      <c r="B87" s="96">
        <f t="shared" ref="B87:M87" si="44">B24*B$66</f>
        <v>134.52325189461982</v>
      </c>
      <c r="C87" s="96">
        <f t="shared" si="44"/>
        <v>132.74151044046152</v>
      </c>
      <c r="D87" s="96">
        <f t="shared" si="44"/>
        <v>130.06889825922411</v>
      </c>
      <c r="E87" s="96">
        <f t="shared" si="44"/>
        <v>138.60068077533458</v>
      </c>
      <c r="F87" s="96">
        <f t="shared" si="44"/>
        <v>132.74151044046152</v>
      </c>
      <c r="G87" s="96">
        <f t="shared" si="44"/>
        <v>130.95976898630326</v>
      </c>
      <c r="H87" s="96">
        <f t="shared" si="44"/>
        <v>135.03719786701802</v>
      </c>
      <c r="I87" s="96">
        <f t="shared" si="44"/>
        <v>103.20575522913256</v>
      </c>
      <c r="J87" s="96">
        <f t="shared" si="44"/>
        <v>138.60068077533458</v>
      </c>
      <c r="K87" s="96">
        <f t="shared" si="44"/>
        <v>138.08673480293641</v>
      </c>
      <c r="L87" s="96">
        <f t="shared" si="44"/>
        <v>133.63238116754073</v>
      </c>
      <c r="M87" s="96">
        <f t="shared" si="44"/>
        <v>114.92409589887865</v>
      </c>
      <c r="N87" s="96">
        <f t="shared" si="29"/>
        <v>1563.1224665372458</v>
      </c>
      <c r="P87" s="112">
        <f t="shared" si="42"/>
        <v>134.52325189461982</v>
      </c>
      <c r="Q87" s="112">
        <f t="shared" si="35"/>
        <v>267.26476233508134</v>
      </c>
      <c r="R87" s="112">
        <f t="shared" si="25"/>
        <v>397.33366059430546</v>
      </c>
      <c r="S87" s="112">
        <f t="shared" si="25"/>
        <v>535.93434136964004</v>
      </c>
      <c r="T87" s="112">
        <f t="shared" si="25"/>
        <v>668.67585181010156</v>
      </c>
      <c r="U87" s="112">
        <f t="shared" si="25"/>
        <v>799.63562079640485</v>
      </c>
      <c r="V87" s="112">
        <f t="shared" si="16"/>
        <v>934.67281866342285</v>
      </c>
      <c r="W87" s="112">
        <f t="shared" si="16"/>
        <v>1037.8785738925553</v>
      </c>
      <c r="X87" s="112">
        <f t="shared" si="16"/>
        <v>1176.47925466789</v>
      </c>
      <c r="Y87" s="112">
        <f t="shared" si="16"/>
        <v>1314.5659894708265</v>
      </c>
      <c r="Z87" s="112">
        <f t="shared" si="16"/>
        <v>1448.1983706383671</v>
      </c>
      <c r="AA87" s="112">
        <f t="shared" si="16"/>
        <v>1563.1224665372458</v>
      </c>
    </row>
    <row r="88" spans="1:27" x14ac:dyDescent="0.2">
      <c r="A88" s="10" t="s">
        <v>31</v>
      </c>
      <c r="B88" s="96">
        <f t="shared" ref="B88:M88" si="45">B25*B$66</f>
        <v>45.321595756017594</v>
      </c>
      <c r="C88" s="96">
        <f t="shared" si="45"/>
        <v>44.311973148596806</v>
      </c>
      <c r="D88" s="96">
        <f t="shared" si="45"/>
        <v>43.403367337465603</v>
      </c>
      <c r="E88" s="96">
        <f t="shared" si="45"/>
        <v>44.513915848596803</v>
      </c>
      <c r="F88" s="96">
        <f t="shared" si="45"/>
        <v>44.715858548596806</v>
      </c>
      <c r="G88" s="96">
        <f t="shared" si="45"/>
        <v>43.504293241175994</v>
      </c>
      <c r="H88" s="96">
        <f t="shared" si="45"/>
        <v>43.504384133755202</v>
      </c>
      <c r="I88" s="96">
        <f t="shared" si="45"/>
        <v>39.726543774388801</v>
      </c>
      <c r="J88" s="96">
        <f t="shared" si="45"/>
        <v>44.311973148596806</v>
      </c>
      <c r="K88" s="96">
        <f t="shared" si="45"/>
        <v>46.533070170859197</v>
      </c>
      <c r="L88" s="96">
        <f t="shared" si="45"/>
        <v>44.614841752307193</v>
      </c>
      <c r="M88" s="96">
        <f t="shared" si="45"/>
        <v>39.726543774388801</v>
      </c>
      <c r="N88" s="96">
        <f t="shared" si="29"/>
        <v>524.18836063474555</v>
      </c>
      <c r="P88" s="112">
        <f t="shared" si="42"/>
        <v>45.321595756017594</v>
      </c>
      <c r="Q88" s="112">
        <f t="shared" si="35"/>
        <v>89.633568904614407</v>
      </c>
      <c r="R88" s="112">
        <f t="shared" si="25"/>
        <v>133.03693624208</v>
      </c>
      <c r="S88" s="112">
        <f t="shared" si="25"/>
        <v>177.55085209067681</v>
      </c>
      <c r="T88" s="112">
        <f t="shared" si="25"/>
        <v>222.26671063927361</v>
      </c>
      <c r="U88" s="112">
        <f t="shared" si="25"/>
        <v>265.7710038804496</v>
      </c>
      <c r="V88" s="112">
        <f t="shared" si="16"/>
        <v>309.27538801420479</v>
      </c>
      <c r="W88" s="112">
        <f t="shared" si="16"/>
        <v>349.00193178859359</v>
      </c>
      <c r="X88" s="112">
        <f t="shared" si="16"/>
        <v>393.31390493719039</v>
      </c>
      <c r="Y88" s="112">
        <f t="shared" si="16"/>
        <v>439.84697510804961</v>
      </c>
      <c r="Z88" s="112">
        <f t="shared" si="16"/>
        <v>484.46181686035681</v>
      </c>
      <c r="AA88" s="112">
        <f t="shared" si="16"/>
        <v>524.18836063474555</v>
      </c>
    </row>
    <row r="89" spans="1:27" x14ac:dyDescent="0.2">
      <c r="A89" s="10" t="s">
        <v>32</v>
      </c>
      <c r="B89" s="96">
        <f t="shared" ref="B89:M89" si="46">B26*B$66</f>
        <v>330.64910461686713</v>
      </c>
      <c r="C89" s="96">
        <f t="shared" si="46"/>
        <v>279.71928758627416</v>
      </c>
      <c r="D89" s="96">
        <f t="shared" si="46"/>
        <v>330.64910461686713</v>
      </c>
      <c r="E89" s="96">
        <f t="shared" si="46"/>
        <v>312.63409655943462</v>
      </c>
      <c r="F89" s="96">
        <f t="shared" si="46"/>
        <v>330.64910461686713</v>
      </c>
      <c r="G89" s="96">
        <f t="shared" si="46"/>
        <v>279.71928758627416</v>
      </c>
      <c r="H89" s="96">
        <f t="shared" si="46"/>
        <v>330.64910461686713</v>
      </c>
      <c r="I89" s="96">
        <f t="shared" si="46"/>
        <v>1256.0670814238329</v>
      </c>
      <c r="J89" s="96">
        <f t="shared" si="46"/>
        <v>330.64910461686713</v>
      </c>
      <c r="K89" s="96">
        <f t="shared" si="46"/>
        <v>279.71928758627416</v>
      </c>
      <c r="L89" s="96">
        <f t="shared" si="46"/>
        <v>330.7413126863209</v>
      </c>
      <c r="M89" s="96">
        <f t="shared" si="46"/>
        <v>348.48302888041303</v>
      </c>
      <c r="N89" s="96">
        <f t="shared" si="29"/>
        <v>4740.3289053931603</v>
      </c>
      <c r="P89" s="112">
        <f t="shared" si="42"/>
        <v>330.64910461686713</v>
      </c>
      <c r="Q89" s="112">
        <f t="shared" si="35"/>
        <v>610.3683922031413</v>
      </c>
      <c r="R89" s="112">
        <f t="shared" si="25"/>
        <v>941.01749682000843</v>
      </c>
      <c r="S89" s="112">
        <f t="shared" si="25"/>
        <v>1253.6515933794431</v>
      </c>
      <c r="T89" s="112">
        <f t="shared" si="25"/>
        <v>1584.3006979963102</v>
      </c>
      <c r="U89" s="112">
        <f t="shared" si="25"/>
        <v>1864.0199855825845</v>
      </c>
      <c r="V89" s="112">
        <f t="shared" si="16"/>
        <v>2194.6690901994516</v>
      </c>
      <c r="W89" s="112">
        <f t="shared" si="16"/>
        <v>3450.7361716232845</v>
      </c>
      <c r="X89" s="112">
        <f t="shared" si="16"/>
        <v>3781.3852762401516</v>
      </c>
      <c r="Y89" s="112">
        <f t="shared" si="16"/>
        <v>4061.1045638264259</v>
      </c>
      <c r="Z89" s="112">
        <f t="shared" si="16"/>
        <v>4391.8458765127471</v>
      </c>
      <c r="AA89" s="112">
        <f t="shared" si="16"/>
        <v>4740.3289053931603</v>
      </c>
    </row>
    <row r="90" spans="1:27" x14ac:dyDescent="0.2">
      <c r="A90" s="10" t="s">
        <v>281</v>
      </c>
      <c r="B90" s="96">
        <f t="shared" ref="B90:M90" si="47">B27*B$66</f>
        <v>39.166800000000002</v>
      </c>
      <c r="C90" s="96">
        <f t="shared" si="47"/>
        <v>38.785800000000002</v>
      </c>
      <c r="D90" s="96">
        <f t="shared" si="47"/>
        <v>50.8508</v>
      </c>
      <c r="E90" s="96">
        <f t="shared" si="47"/>
        <v>32.689799999999998</v>
      </c>
      <c r="F90" s="96">
        <f t="shared" si="47"/>
        <v>36.728400000000001</v>
      </c>
      <c r="G90" s="96">
        <f t="shared" si="47"/>
        <v>36.563299999999998</v>
      </c>
      <c r="H90" s="96">
        <f t="shared" si="47"/>
        <v>31.165800000000001</v>
      </c>
      <c r="I90" s="96">
        <f t="shared" si="47"/>
        <v>43.992800000000003</v>
      </c>
      <c r="J90" s="96">
        <f t="shared" si="47"/>
        <v>47.1678</v>
      </c>
      <c r="K90" s="96">
        <f t="shared" si="47"/>
        <v>32.36468</v>
      </c>
      <c r="L90" s="96">
        <f t="shared" si="47"/>
        <v>34.467800000000004</v>
      </c>
      <c r="M90" s="96">
        <f t="shared" si="47"/>
        <v>27.101800000000001</v>
      </c>
      <c r="N90" s="96">
        <f t="shared" si="29"/>
        <v>451.04558000000003</v>
      </c>
      <c r="P90" s="112">
        <f t="shared" si="42"/>
        <v>39.166800000000002</v>
      </c>
      <c r="Q90" s="112">
        <f t="shared" si="35"/>
        <v>77.952600000000004</v>
      </c>
      <c r="R90" s="112">
        <f t="shared" si="25"/>
        <v>128.80340000000001</v>
      </c>
      <c r="S90" s="112">
        <f t="shared" si="25"/>
        <v>161.4932</v>
      </c>
      <c r="T90" s="112">
        <f t="shared" si="25"/>
        <v>198.2216</v>
      </c>
      <c r="U90" s="112">
        <f t="shared" si="25"/>
        <v>234.78489999999999</v>
      </c>
      <c r="V90" s="112">
        <f t="shared" si="16"/>
        <v>265.95069999999998</v>
      </c>
      <c r="W90" s="112">
        <f t="shared" si="16"/>
        <v>309.94349999999997</v>
      </c>
      <c r="X90" s="112">
        <f t="shared" si="16"/>
        <v>357.11129999999997</v>
      </c>
      <c r="Y90" s="112">
        <f t="shared" si="16"/>
        <v>389.47597999999999</v>
      </c>
      <c r="Z90" s="112">
        <f t="shared" si="16"/>
        <v>423.94378</v>
      </c>
      <c r="AA90" s="112">
        <f t="shared" si="16"/>
        <v>451.04558000000003</v>
      </c>
    </row>
    <row r="91" spans="1:27" x14ac:dyDescent="0.2">
      <c r="A91" s="10" t="s">
        <v>754</v>
      </c>
      <c r="B91" s="96">
        <f t="shared" ref="B91:M91" si="48">B28*B$66</f>
        <v>23.465753500080723</v>
      </c>
      <c r="C91" s="96">
        <f t="shared" si="48"/>
        <v>22.785586731962443</v>
      </c>
      <c r="D91" s="96">
        <f t="shared" si="48"/>
        <v>21.765336579785011</v>
      </c>
      <c r="E91" s="96">
        <f t="shared" si="48"/>
        <v>22.785586731962443</v>
      </c>
      <c r="F91" s="96">
        <f t="shared" si="48"/>
        <v>22.785586731962443</v>
      </c>
      <c r="G91" s="96">
        <f t="shared" si="48"/>
        <v>22.10541996384417</v>
      </c>
      <c r="H91" s="96">
        <f t="shared" si="48"/>
        <v>21.42525319572588</v>
      </c>
      <c r="I91" s="96">
        <f t="shared" si="48"/>
        <v>15.983919050779626</v>
      </c>
      <c r="J91" s="96">
        <f t="shared" si="48"/>
        <v>22.785586731962443</v>
      </c>
      <c r="K91" s="96">
        <f t="shared" si="48"/>
        <v>24.826087036317286</v>
      </c>
      <c r="L91" s="96">
        <f t="shared" si="48"/>
        <v>23.125670116021592</v>
      </c>
      <c r="M91" s="96">
        <f t="shared" si="48"/>
        <v>15.983919050779626</v>
      </c>
      <c r="N91" s="96">
        <f t="shared" si="29"/>
        <v>259.82370542118366</v>
      </c>
      <c r="P91" s="112">
        <f t="shared" ref="P91" si="49">B91</f>
        <v>23.465753500080723</v>
      </c>
      <c r="Q91" s="112">
        <f t="shared" ref="Q91" si="50">P91+C91</f>
        <v>46.251340232043162</v>
      </c>
      <c r="R91" s="112">
        <f t="shared" ref="R91" si="51">Q91+D91</f>
        <v>68.016676811828177</v>
      </c>
      <c r="S91" s="112">
        <f t="shared" ref="S91" si="52">R91+E91</f>
        <v>90.802263543790616</v>
      </c>
      <c r="T91" s="112">
        <f t="shared" ref="T91" si="53">S91+F91</f>
        <v>113.58785027575306</v>
      </c>
      <c r="U91" s="112">
        <f t="shared" ref="U91" si="54">T91+G91</f>
        <v>135.69327023959721</v>
      </c>
      <c r="V91" s="112">
        <f t="shared" ref="V91" si="55">U91+H91</f>
        <v>157.11852343532308</v>
      </c>
      <c r="W91" s="112">
        <f t="shared" ref="W91" si="56">V91+I91</f>
        <v>173.10244248610272</v>
      </c>
      <c r="X91" s="112">
        <f t="shared" ref="X91" si="57">W91+J91</f>
        <v>195.88802921806516</v>
      </c>
      <c r="Y91" s="112">
        <f t="shared" ref="Y91" si="58">X91+K91</f>
        <v>220.71411625438245</v>
      </c>
      <c r="Z91" s="112">
        <f t="shared" ref="Z91" si="59">Y91+L91</f>
        <v>243.83978637040403</v>
      </c>
      <c r="AA91" s="112">
        <f t="shared" ref="AA91" si="60">Z91+M91</f>
        <v>259.82370542118366</v>
      </c>
    </row>
    <row r="92" spans="1:27" x14ac:dyDescent="0.2">
      <c r="A92" s="10" t="s">
        <v>33</v>
      </c>
      <c r="B92" s="96">
        <f t="shared" ref="B92:M92" si="61">B29*B$66</f>
        <v>150.83301938999995</v>
      </c>
      <c r="C92" s="96">
        <f t="shared" si="61"/>
        <v>150.83301938999995</v>
      </c>
      <c r="D92" s="96">
        <f t="shared" si="61"/>
        <v>150.83301938999995</v>
      </c>
      <c r="E92" s="96">
        <f t="shared" si="61"/>
        <v>150.83301938999995</v>
      </c>
      <c r="F92" s="96">
        <f t="shared" si="61"/>
        <v>150.83301938999995</v>
      </c>
      <c r="G92" s="96">
        <f t="shared" si="61"/>
        <v>153.80693605666661</v>
      </c>
      <c r="H92" s="96">
        <f t="shared" si="61"/>
        <v>155.0769360566666</v>
      </c>
      <c r="I92" s="96">
        <f t="shared" si="61"/>
        <v>155.0769360566666</v>
      </c>
      <c r="J92" s="96">
        <f t="shared" si="61"/>
        <v>163.42989748917347</v>
      </c>
      <c r="K92" s="96">
        <f t="shared" si="61"/>
        <v>163.42989748917347</v>
      </c>
      <c r="L92" s="96">
        <f t="shared" si="61"/>
        <v>170.75678249105178</v>
      </c>
      <c r="M92" s="96">
        <f t="shared" si="61"/>
        <v>172.02678249105176</v>
      </c>
      <c r="N92" s="96">
        <f t="shared" si="29"/>
        <v>1887.7692650804502</v>
      </c>
      <c r="P92" s="112">
        <f t="shared" si="42"/>
        <v>150.83301938999995</v>
      </c>
      <c r="Q92" s="112">
        <f t="shared" si="35"/>
        <v>301.66603877999989</v>
      </c>
      <c r="R92" s="112">
        <f t="shared" si="25"/>
        <v>452.49905816999984</v>
      </c>
      <c r="S92" s="112">
        <f t="shared" si="25"/>
        <v>603.33207755999979</v>
      </c>
      <c r="T92" s="112">
        <f t="shared" si="25"/>
        <v>754.16509694999968</v>
      </c>
      <c r="U92" s="112">
        <f t="shared" si="25"/>
        <v>907.97203300666627</v>
      </c>
      <c r="V92" s="112">
        <f t="shared" si="16"/>
        <v>1063.0489690633328</v>
      </c>
      <c r="W92" s="112">
        <f t="shared" si="16"/>
        <v>1218.1259051199995</v>
      </c>
      <c r="X92" s="112">
        <f t="shared" si="16"/>
        <v>1381.555802609173</v>
      </c>
      <c r="Y92" s="112">
        <f t="shared" si="16"/>
        <v>1544.9857000983466</v>
      </c>
      <c r="Z92" s="112">
        <f t="shared" si="16"/>
        <v>1715.7424825893984</v>
      </c>
      <c r="AA92" s="112">
        <f t="shared" si="16"/>
        <v>1887.7692650804502</v>
      </c>
    </row>
    <row r="93" spans="1:27" x14ac:dyDescent="0.2">
      <c r="A93" s="10" t="s">
        <v>34</v>
      </c>
      <c r="B93" s="96">
        <f t="shared" ref="B93:M93" si="62">B30*B$66</f>
        <v>93.531401252316741</v>
      </c>
      <c r="C93" s="96">
        <f t="shared" si="62"/>
        <v>0</v>
      </c>
      <c r="D93" s="96">
        <f t="shared" si="62"/>
        <v>0</v>
      </c>
      <c r="E93" s="96">
        <f t="shared" si="62"/>
        <v>-243.24508958170159</v>
      </c>
      <c r="F93" s="96">
        <f t="shared" si="62"/>
        <v>48.144276927005237</v>
      </c>
      <c r="G93" s="96">
        <f t="shared" si="62"/>
        <v>25.791576925184472</v>
      </c>
      <c r="H93" s="96">
        <f t="shared" si="62"/>
        <v>31.624551017654159</v>
      </c>
      <c r="I93" s="96">
        <f t="shared" si="62"/>
        <v>22.843968133735643</v>
      </c>
      <c r="J93" s="96">
        <f t="shared" si="62"/>
        <v>22.352700001820768</v>
      </c>
      <c r="K93" s="96">
        <f t="shared" si="62"/>
        <v>45.433120608981561</v>
      </c>
      <c r="L93" s="96">
        <f t="shared" si="62"/>
        <v>18.91382307846515</v>
      </c>
      <c r="M93" s="96">
        <f t="shared" si="62"/>
        <v>18.422554946562979</v>
      </c>
      <c r="N93" s="96">
        <f t="shared" si="29"/>
        <v>83.8128833100251</v>
      </c>
      <c r="P93" s="119">
        <f>B93</f>
        <v>93.531401252316741</v>
      </c>
      <c r="Q93" s="119">
        <f t="shared" si="35"/>
        <v>93.531401252316741</v>
      </c>
      <c r="R93" s="119">
        <f t="shared" si="25"/>
        <v>93.531401252316741</v>
      </c>
      <c r="S93" s="119">
        <f t="shared" si="25"/>
        <v>-149.71368832938487</v>
      </c>
      <c r="T93" s="119">
        <f t="shared" si="25"/>
        <v>-101.56941140237963</v>
      </c>
      <c r="U93" s="119">
        <f t="shared" si="25"/>
        <v>-75.777834477195157</v>
      </c>
      <c r="V93" s="119">
        <f t="shared" si="16"/>
        <v>-44.153283459541001</v>
      </c>
      <c r="W93" s="119">
        <f t="shared" si="16"/>
        <v>-21.309315325805358</v>
      </c>
      <c r="X93" s="119">
        <f t="shared" si="16"/>
        <v>1.0433846760154104</v>
      </c>
      <c r="Y93" s="119">
        <f t="shared" si="16"/>
        <v>46.476505284996975</v>
      </c>
      <c r="Z93" s="119">
        <f t="shared" si="16"/>
        <v>65.390328363462118</v>
      </c>
      <c r="AA93" s="119">
        <f t="shared" si="16"/>
        <v>83.8128833100251</v>
      </c>
    </row>
    <row r="94" spans="1:27" x14ac:dyDescent="0.2">
      <c r="A94" s="30" t="s">
        <v>35</v>
      </c>
      <c r="B94" s="228">
        <f>SUM(B82:B93)-B83</f>
        <v>15156.929813993149</v>
      </c>
      <c r="C94" s="228">
        <f t="shared" ref="C94:M94" si="63">SUM(C82:C93)-C83</f>
        <v>14586.019161278589</v>
      </c>
      <c r="D94" s="228">
        <f t="shared" si="63"/>
        <v>14043.845716390597</v>
      </c>
      <c r="E94" s="228">
        <f t="shared" si="63"/>
        <v>14693.718031546583</v>
      </c>
      <c r="F94" s="228">
        <f t="shared" si="63"/>
        <v>14926.968792819649</v>
      </c>
      <c r="G94" s="228">
        <f t="shared" si="63"/>
        <v>14376.94174061432</v>
      </c>
      <c r="H94" s="228">
        <f t="shared" si="63"/>
        <v>13966.529915859679</v>
      </c>
      <c r="I94" s="228">
        <f t="shared" si="63"/>
        <v>11618.008923499792</v>
      </c>
      <c r="J94" s="228">
        <f t="shared" si="63"/>
        <v>14731.167262185656</v>
      </c>
      <c r="K94" s="228">
        <f t="shared" si="63"/>
        <v>15965.051691843868</v>
      </c>
      <c r="L94" s="228">
        <f t="shared" si="63"/>
        <v>14930.198726770026</v>
      </c>
      <c r="M94" s="228">
        <f t="shared" si="63"/>
        <v>10643.036188036966</v>
      </c>
      <c r="N94" s="228">
        <f t="shared" si="29"/>
        <v>169638.41596483887</v>
      </c>
      <c r="P94" s="241">
        <f>B94</f>
        <v>15156.929813993149</v>
      </c>
      <c r="Q94" s="241">
        <f t="shared" si="35"/>
        <v>29742.948975271738</v>
      </c>
      <c r="R94" s="241">
        <f t="shared" si="25"/>
        <v>43786.794691662333</v>
      </c>
      <c r="S94" s="241">
        <f t="shared" si="25"/>
        <v>58480.512723208914</v>
      </c>
      <c r="T94" s="241">
        <f t="shared" si="25"/>
        <v>73407.481516028565</v>
      </c>
      <c r="U94" s="241">
        <f t="shared" si="25"/>
        <v>87784.423256642884</v>
      </c>
      <c r="V94" s="241">
        <f t="shared" si="16"/>
        <v>101750.95317250256</v>
      </c>
      <c r="W94" s="241">
        <f t="shared" si="16"/>
        <v>113368.96209600235</v>
      </c>
      <c r="X94" s="241">
        <f t="shared" si="16"/>
        <v>128100.129358188</v>
      </c>
      <c r="Y94" s="241">
        <f t="shared" si="16"/>
        <v>144065.18105003188</v>
      </c>
      <c r="Z94" s="241">
        <f t="shared" si="16"/>
        <v>158995.37977680191</v>
      </c>
      <c r="AA94" s="241">
        <f t="shared" si="16"/>
        <v>169638.41596483887</v>
      </c>
    </row>
    <row r="95" spans="1:27" ht="13.5" thickBot="1" x14ac:dyDescent="0.25">
      <c r="A95" s="10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>
        <f t="shared" si="29"/>
        <v>0</v>
      </c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</row>
    <row r="96" spans="1:27" ht="13.5" thickBot="1" x14ac:dyDescent="0.25">
      <c r="A96" s="33" t="s">
        <v>36</v>
      </c>
      <c r="B96" s="103">
        <f>B79-B94</f>
        <v>3241.5494585335036</v>
      </c>
      <c r="C96" s="103">
        <f t="shared" ref="C96:M96" si="64">C79-C94</f>
        <v>3711.2236435766827</v>
      </c>
      <c r="D96" s="103">
        <f t="shared" si="64"/>
        <v>3687.7963684473634</v>
      </c>
      <c r="E96" s="103">
        <f t="shared" si="64"/>
        <v>3893.7078388372738</v>
      </c>
      <c r="F96" s="103">
        <f t="shared" si="64"/>
        <v>3308.2663519075668</v>
      </c>
      <c r="G96" s="103">
        <f t="shared" si="64"/>
        <v>3201.5542027548199</v>
      </c>
      <c r="H96" s="103">
        <f t="shared" si="64"/>
        <v>2792.3346133183986</v>
      </c>
      <c r="I96" s="103">
        <f t="shared" si="64"/>
        <v>921.49057849295423</v>
      </c>
      <c r="J96" s="103">
        <f t="shared" si="64"/>
        <v>3425.791786747719</v>
      </c>
      <c r="K96" s="103">
        <f t="shared" si="64"/>
        <v>4049.3321397416639</v>
      </c>
      <c r="L96" s="103">
        <f t="shared" si="64"/>
        <v>3256.6252013013709</v>
      </c>
      <c r="M96" s="103">
        <f t="shared" si="64"/>
        <v>1626.0567318595895</v>
      </c>
      <c r="N96" s="103">
        <f t="shared" si="29"/>
        <v>37115.728915518906</v>
      </c>
      <c r="P96" s="118">
        <f>B96</f>
        <v>3241.5494585335036</v>
      </c>
      <c r="Q96" s="118">
        <f t="shared" si="35"/>
        <v>6952.7731021101863</v>
      </c>
      <c r="R96" s="118">
        <f t="shared" si="25"/>
        <v>10640.56947055755</v>
      </c>
      <c r="S96" s="118">
        <f t="shared" si="25"/>
        <v>14534.277309394824</v>
      </c>
      <c r="T96" s="118">
        <f t="shared" si="25"/>
        <v>17842.543661302392</v>
      </c>
      <c r="U96" s="118">
        <f t="shared" si="25"/>
        <v>21044.097864057214</v>
      </c>
      <c r="V96" s="118">
        <f t="shared" si="16"/>
        <v>23836.432477375613</v>
      </c>
      <c r="W96" s="118">
        <f t="shared" si="16"/>
        <v>24757.923055868567</v>
      </c>
      <c r="X96" s="118">
        <f t="shared" si="16"/>
        <v>28183.714842616286</v>
      </c>
      <c r="Y96" s="118">
        <f t="shared" si="16"/>
        <v>32233.046982357948</v>
      </c>
      <c r="Z96" s="118">
        <f t="shared" si="16"/>
        <v>35489.672183659321</v>
      </c>
      <c r="AA96" s="118">
        <f t="shared" si="16"/>
        <v>37115.728915518906</v>
      </c>
    </row>
    <row r="97" spans="1:27" x14ac:dyDescent="0.2">
      <c r="A97" s="10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21"/>
      <c r="M97" s="21"/>
      <c r="N97" s="21">
        <f t="shared" si="29"/>
        <v>0</v>
      </c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</row>
    <row r="98" spans="1:27" x14ac:dyDescent="0.2">
      <c r="A98" s="16" t="s">
        <v>37</v>
      </c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21"/>
      <c r="M98" s="21"/>
      <c r="N98" s="21">
        <f t="shared" si="29"/>
        <v>0</v>
      </c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</row>
    <row r="99" spans="1:27" x14ac:dyDescent="0.2">
      <c r="A99" s="10" t="s">
        <v>17</v>
      </c>
      <c r="B99" s="96">
        <f t="shared" ref="B99:M99" si="65">B36*B$66</f>
        <v>786.07593534066575</v>
      </c>
      <c r="C99" s="96">
        <f t="shared" si="65"/>
        <v>763.29112562064665</v>
      </c>
      <c r="D99" s="96">
        <f t="shared" si="65"/>
        <v>729.1139110406175</v>
      </c>
      <c r="E99" s="96">
        <f t="shared" si="65"/>
        <v>763.29112562064665</v>
      </c>
      <c r="F99" s="96">
        <f t="shared" si="65"/>
        <v>763.29112562064665</v>
      </c>
      <c r="G99" s="96">
        <f t="shared" si="65"/>
        <v>740.50631590062733</v>
      </c>
      <c r="H99" s="96">
        <f t="shared" si="65"/>
        <v>717.721506180608</v>
      </c>
      <c r="I99" s="96">
        <f t="shared" si="65"/>
        <v>535.44302842045352</v>
      </c>
      <c r="J99" s="96">
        <f t="shared" si="65"/>
        <v>763.29112562064665</v>
      </c>
      <c r="K99" s="96">
        <f t="shared" si="65"/>
        <v>831.64555478070451</v>
      </c>
      <c r="L99" s="96">
        <f t="shared" si="65"/>
        <v>774.68353048065626</v>
      </c>
      <c r="M99" s="96">
        <f t="shared" si="65"/>
        <v>535.44302842045352</v>
      </c>
      <c r="N99" s="96">
        <f t="shared" si="29"/>
        <v>8703.7973130473729</v>
      </c>
      <c r="P99" s="112">
        <f t="shared" ref="P99:P103" si="66">B99</f>
        <v>786.07593534066575</v>
      </c>
      <c r="Q99" s="112">
        <f t="shared" si="35"/>
        <v>1549.3670609613123</v>
      </c>
      <c r="R99" s="112">
        <f t="shared" si="25"/>
        <v>2278.4809720019298</v>
      </c>
      <c r="S99" s="112">
        <f t="shared" si="25"/>
        <v>3041.7720976225764</v>
      </c>
      <c r="T99" s="112">
        <f t="shared" si="25"/>
        <v>3805.0632232432231</v>
      </c>
      <c r="U99" s="112">
        <f t="shared" si="25"/>
        <v>4545.5695391438503</v>
      </c>
      <c r="V99" s="112">
        <f t="shared" si="16"/>
        <v>5263.2910453244585</v>
      </c>
      <c r="W99" s="112">
        <f t="shared" si="16"/>
        <v>5798.7340737449122</v>
      </c>
      <c r="X99" s="112">
        <f t="shared" si="16"/>
        <v>6562.0251993655584</v>
      </c>
      <c r="Y99" s="112">
        <f t="shared" si="16"/>
        <v>7393.6707541462629</v>
      </c>
      <c r="Z99" s="112">
        <f t="shared" si="16"/>
        <v>8168.3542846269193</v>
      </c>
      <c r="AA99" s="112">
        <f t="shared" si="16"/>
        <v>8703.7973130473729</v>
      </c>
    </row>
    <row r="100" spans="1:27" x14ac:dyDescent="0.2">
      <c r="A100" s="10" t="s">
        <v>38</v>
      </c>
      <c r="B100" s="96">
        <f t="shared" ref="B100:M100" si="67">B37*B$66</f>
        <v>94.324920719698213</v>
      </c>
      <c r="C100" s="96">
        <f t="shared" si="67"/>
        <v>94.121576255623552</v>
      </c>
      <c r="D100" s="96">
        <f t="shared" si="67"/>
        <v>91.389776072872351</v>
      </c>
      <c r="E100" s="96">
        <f t="shared" si="67"/>
        <v>95.823614317676061</v>
      </c>
      <c r="F100" s="96">
        <f t="shared" si="67"/>
        <v>93.757876887142061</v>
      </c>
      <c r="G100" s="96">
        <f t="shared" si="67"/>
        <v>90.296289925054225</v>
      </c>
      <c r="H100" s="96">
        <f t="shared" si="67"/>
        <v>85.879275926765274</v>
      </c>
      <c r="I100" s="96">
        <f t="shared" si="67"/>
        <v>64.254615465878629</v>
      </c>
      <c r="J100" s="96">
        <f t="shared" si="67"/>
        <v>93.298756730880314</v>
      </c>
      <c r="K100" s="96">
        <f t="shared" si="67"/>
        <v>103.02194325946407</v>
      </c>
      <c r="L100" s="96">
        <f t="shared" si="67"/>
        <v>93.278702357175291</v>
      </c>
      <c r="M100" s="96">
        <f t="shared" si="67"/>
        <v>62.668574274540006</v>
      </c>
      <c r="N100" s="96">
        <f t="shared" si="29"/>
        <v>1062.1159221927701</v>
      </c>
      <c r="P100" s="112">
        <f t="shared" si="66"/>
        <v>94.324920719698213</v>
      </c>
      <c r="Q100" s="112">
        <f t="shared" si="35"/>
        <v>188.44649697532176</v>
      </c>
      <c r="R100" s="112">
        <f t="shared" si="25"/>
        <v>279.83627304819413</v>
      </c>
      <c r="S100" s="112">
        <f t="shared" si="25"/>
        <v>375.65988736587019</v>
      </c>
      <c r="T100" s="112">
        <f t="shared" si="25"/>
        <v>469.41776425301225</v>
      </c>
      <c r="U100" s="112">
        <f t="shared" si="25"/>
        <v>559.71405417806648</v>
      </c>
      <c r="V100" s="112">
        <f t="shared" si="16"/>
        <v>645.59333010483169</v>
      </c>
      <c r="W100" s="112">
        <f t="shared" si="16"/>
        <v>709.84794557071029</v>
      </c>
      <c r="X100" s="112">
        <f t="shared" si="16"/>
        <v>803.14670230159061</v>
      </c>
      <c r="Y100" s="112">
        <f t="shared" si="16"/>
        <v>906.16864556105463</v>
      </c>
      <c r="Z100" s="112">
        <f t="shared" si="16"/>
        <v>999.44734791822998</v>
      </c>
      <c r="AA100" s="112">
        <f t="shared" si="16"/>
        <v>1062.1159221927701</v>
      </c>
    </row>
    <row r="101" spans="1:27" x14ac:dyDescent="0.2">
      <c r="A101" s="10" t="s">
        <v>39</v>
      </c>
      <c r="B101" s="96">
        <f t="shared" ref="B101:M101" si="68">B38*B$66</f>
        <v>20.285040286666668</v>
      </c>
      <c r="C101" s="96">
        <f t="shared" si="68"/>
        <v>20.285040286666668</v>
      </c>
      <c r="D101" s="96">
        <f t="shared" si="68"/>
        <v>20.285040286666668</v>
      </c>
      <c r="E101" s="96">
        <f t="shared" si="68"/>
        <v>20.285040286666668</v>
      </c>
      <c r="F101" s="96">
        <f t="shared" si="68"/>
        <v>20.285040286666668</v>
      </c>
      <c r="G101" s="96">
        <f t="shared" si="68"/>
        <v>20.285040286666668</v>
      </c>
      <c r="H101" s="96">
        <f t="shared" si="68"/>
        <v>20.285040286666668</v>
      </c>
      <c r="I101" s="96">
        <f t="shared" si="68"/>
        <v>20.285040286666668</v>
      </c>
      <c r="J101" s="96">
        <f t="shared" si="68"/>
        <v>20.285040286666668</v>
      </c>
      <c r="K101" s="96">
        <f t="shared" si="68"/>
        <v>20.285040286666668</v>
      </c>
      <c r="L101" s="96">
        <f t="shared" si="68"/>
        <v>20.285040286666668</v>
      </c>
      <c r="M101" s="96">
        <f t="shared" si="68"/>
        <v>20.285040286666668</v>
      </c>
      <c r="N101" s="96">
        <f t="shared" si="29"/>
        <v>243.42048343999997</v>
      </c>
      <c r="P101" s="112">
        <f t="shared" si="66"/>
        <v>20.285040286666668</v>
      </c>
      <c r="Q101" s="112">
        <f t="shared" si="35"/>
        <v>40.570080573333335</v>
      </c>
      <c r="R101" s="112">
        <f t="shared" si="25"/>
        <v>60.85512086</v>
      </c>
      <c r="S101" s="112">
        <f t="shared" si="25"/>
        <v>81.140161146666671</v>
      </c>
      <c r="T101" s="112">
        <f t="shared" si="25"/>
        <v>101.42520143333334</v>
      </c>
      <c r="U101" s="112">
        <f t="shared" si="25"/>
        <v>121.71024172000001</v>
      </c>
      <c r="V101" s="112">
        <f t="shared" si="16"/>
        <v>141.99528200666668</v>
      </c>
      <c r="W101" s="112">
        <f t="shared" si="16"/>
        <v>162.28032229333334</v>
      </c>
      <c r="X101" s="112">
        <f t="shared" si="16"/>
        <v>182.56536258</v>
      </c>
      <c r="Y101" s="112">
        <f t="shared" si="16"/>
        <v>202.85040286666666</v>
      </c>
      <c r="Z101" s="112">
        <f t="shared" si="16"/>
        <v>223.13544315333331</v>
      </c>
      <c r="AA101" s="112">
        <f t="shared" si="16"/>
        <v>243.42048343999997</v>
      </c>
    </row>
    <row r="102" spans="1:27" x14ac:dyDescent="0.2">
      <c r="A102" s="10" t="s">
        <v>40</v>
      </c>
      <c r="B102" s="96">
        <f t="shared" ref="B102:M102" si="69">B39*B$66</f>
        <v>51.881817493968008</v>
      </c>
      <c r="C102" s="96">
        <f t="shared" si="69"/>
        <v>51.881817493968008</v>
      </c>
      <c r="D102" s="96">
        <f t="shared" si="69"/>
        <v>51.881817493968008</v>
      </c>
      <c r="E102" s="96">
        <f t="shared" si="69"/>
        <v>51.881817493968008</v>
      </c>
      <c r="F102" s="96">
        <f t="shared" si="69"/>
        <v>51.881817493968008</v>
      </c>
      <c r="G102" s="96">
        <f t="shared" si="69"/>
        <v>51.881817493968008</v>
      </c>
      <c r="H102" s="96">
        <f t="shared" si="69"/>
        <v>51.881817493968008</v>
      </c>
      <c r="I102" s="96">
        <f t="shared" si="69"/>
        <v>51.881817493968008</v>
      </c>
      <c r="J102" s="96">
        <f t="shared" si="69"/>
        <v>51.881817493968008</v>
      </c>
      <c r="K102" s="96">
        <f t="shared" si="69"/>
        <v>51.881817493968008</v>
      </c>
      <c r="L102" s="96">
        <f t="shared" si="69"/>
        <v>51.881817493968008</v>
      </c>
      <c r="M102" s="96">
        <f t="shared" si="69"/>
        <v>51.881817493968008</v>
      </c>
      <c r="N102" s="96">
        <f t="shared" si="29"/>
        <v>622.58180992761606</v>
      </c>
      <c r="P102" s="119">
        <f t="shared" si="66"/>
        <v>51.881817493968008</v>
      </c>
      <c r="Q102" s="119">
        <f t="shared" si="35"/>
        <v>103.76363498793602</v>
      </c>
      <c r="R102" s="119">
        <f t="shared" si="25"/>
        <v>155.64545248190402</v>
      </c>
      <c r="S102" s="119">
        <f t="shared" si="25"/>
        <v>207.52726997587203</v>
      </c>
      <c r="T102" s="119">
        <f t="shared" si="25"/>
        <v>259.40908746984002</v>
      </c>
      <c r="U102" s="119">
        <f t="shared" si="25"/>
        <v>311.29090496380803</v>
      </c>
      <c r="V102" s="119">
        <f t="shared" si="16"/>
        <v>363.17272245777605</v>
      </c>
      <c r="W102" s="119">
        <f t="shared" si="16"/>
        <v>415.05453995174406</v>
      </c>
      <c r="X102" s="119">
        <f t="shared" si="16"/>
        <v>466.93635744571208</v>
      </c>
      <c r="Y102" s="119">
        <f t="shared" si="16"/>
        <v>518.81817493968003</v>
      </c>
      <c r="Z102" s="119">
        <f t="shared" si="16"/>
        <v>570.69999243364805</v>
      </c>
      <c r="AA102" s="119">
        <f t="shared" si="16"/>
        <v>622.58180992761606</v>
      </c>
    </row>
    <row r="103" spans="1:27" x14ac:dyDescent="0.2">
      <c r="A103" s="10"/>
      <c r="B103" s="245">
        <f>SUM(B99:B102)</f>
        <v>952.56771384099864</v>
      </c>
      <c r="C103" s="245">
        <f t="shared" ref="C103:M103" si="70">SUM(C99:C102)</f>
        <v>929.57955965690485</v>
      </c>
      <c r="D103" s="245">
        <f t="shared" si="70"/>
        <v>892.67054489412453</v>
      </c>
      <c r="E103" s="245">
        <f t="shared" si="70"/>
        <v>931.28159771895741</v>
      </c>
      <c r="F103" s="245">
        <f t="shared" si="70"/>
        <v>929.21586028842341</v>
      </c>
      <c r="G103" s="245">
        <f t="shared" si="70"/>
        <v>902.96946360631625</v>
      </c>
      <c r="H103" s="245">
        <f t="shared" si="70"/>
        <v>875.76763988800803</v>
      </c>
      <c r="I103" s="245">
        <f t="shared" si="70"/>
        <v>671.86450166696682</v>
      </c>
      <c r="J103" s="245">
        <f t="shared" si="70"/>
        <v>928.75674013216167</v>
      </c>
      <c r="K103" s="245">
        <f t="shared" si="70"/>
        <v>1006.8343558208032</v>
      </c>
      <c r="L103" s="245">
        <f t="shared" si="70"/>
        <v>940.12909061846631</v>
      </c>
      <c r="M103" s="245">
        <f t="shared" si="70"/>
        <v>670.27846047562821</v>
      </c>
      <c r="N103" s="245">
        <f t="shared" si="29"/>
        <v>10631.91552860776</v>
      </c>
      <c r="P103" s="112">
        <f t="shared" si="66"/>
        <v>952.56771384099864</v>
      </c>
      <c r="Q103" s="112">
        <f t="shared" si="35"/>
        <v>1882.1472734979034</v>
      </c>
      <c r="R103" s="112">
        <f t="shared" si="25"/>
        <v>2774.8178183920281</v>
      </c>
      <c r="S103" s="112">
        <f t="shared" si="25"/>
        <v>3706.0994161109857</v>
      </c>
      <c r="T103" s="112">
        <f t="shared" si="25"/>
        <v>4635.3152763994094</v>
      </c>
      <c r="U103" s="112">
        <f t="shared" si="25"/>
        <v>5538.2847400057253</v>
      </c>
      <c r="V103" s="112">
        <f t="shared" si="25"/>
        <v>6414.0523798937338</v>
      </c>
      <c r="W103" s="112">
        <f t="shared" si="25"/>
        <v>7085.9168815607009</v>
      </c>
      <c r="X103" s="112">
        <f t="shared" si="25"/>
        <v>8014.6736216928621</v>
      </c>
      <c r="Y103" s="112">
        <f t="shared" si="25"/>
        <v>9021.5079775136655</v>
      </c>
      <c r="Z103" s="112">
        <f t="shared" si="25"/>
        <v>9961.6370681321314</v>
      </c>
      <c r="AA103" s="112">
        <f t="shared" si="25"/>
        <v>10631.91552860776</v>
      </c>
    </row>
    <row r="104" spans="1:27" x14ac:dyDescent="0.2">
      <c r="A104" s="10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12"/>
      <c r="M104" s="12"/>
      <c r="N104" s="17">
        <f t="shared" si="29"/>
        <v>0</v>
      </c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</row>
    <row r="105" spans="1:27" x14ac:dyDescent="0.2">
      <c r="A105" s="16" t="s">
        <v>41</v>
      </c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12"/>
      <c r="M105" s="12"/>
      <c r="N105" s="17">
        <f t="shared" si="29"/>
        <v>0</v>
      </c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</row>
    <row r="106" spans="1:27" x14ac:dyDescent="0.2">
      <c r="A106" s="10" t="s">
        <v>42</v>
      </c>
      <c r="B106" s="96">
        <f t="shared" ref="B106:M106" si="71">B43*B$66</f>
        <v>322.96530342851742</v>
      </c>
      <c r="C106" s="96">
        <f t="shared" si="71"/>
        <v>322.96530342851742</v>
      </c>
      <c r="D106" s="96">
        <f t="shared" si="71"/>
        <v>322.96530342851742</v>
      </c>
      <c r="E106" s="96">
        <f t="shared" si="71"/>
        <v>322.96530342851742</v>
      </c>
      <c r="F106" s="96">
        <f t="shared" si="71"/>
        <v>322.96530342851742</v>
      </c>
      <c r="G106" s="96">
        <f t="shared" si="71"/>
        <v>322.96530342851742</v>
      </c>
      <c r="H106" s="96">
        <f t="shared" si="71"/>
        <v>322.96530342851742</v>
      </c>
      <c r="I106" s="96">
        <f t="shared" si="71"/>
        <v>322.96530342851742</v>
      </c>
      <c r="J106" s="96">
        <f t="shared" si="71"/>
        <v>322.96530342851742</v>
      </c>
      <c r="K106" s="96">
        <f t="shared" si="71"/>
        <v>322.96530342851742</v>
      </c>
      <c r="L106" s="96">
        <f t="shared" si="71"/>
        <v>322.96530342851742</v>
      </c>
      <c r="M106" s="96">
        <f t="shared" si="71"/>
        <v>322.96530342851742</v>
      </c>
      <c r="N106" s="96">
        <f t="shared" si="29"/>
        <v>3875.5836411422092</v>
      </c>
      <c r="P106" s="112">
        <f t="shared" ref="P106:P108" si="72">B106</f>
        <v>322.96530342851742</v>
      </c>
      <c r="Q106" s="112">
        <f t="shared" si="35"/>
        <v>645.93060685703483</v>
      </c>
      <c r="R106" s="112">
        <f t="shared" si="25"/>
        <v>968.89591028555219</v>
      </c>
      <c r="S106" s="112">
        <f t="shared" si="25"/>
        <v>1291.8612137140697</v>
      </c>
      <c r="T106" s="112">
        <f t="shared" si="25"/>
        <v>1614.8265171425871</v>
      </c>
      <c r="U106" s="112">
        <f t="shared" si="25"/>
        <v>1937.7918205711046</v>
      </c>
      <c r="V106" s="112">
        <f t="shared" si="25"/>
        <v>2260.7571239996219</v>
      </c>
      <c r="W106" s="112">
        <f t="shared" si="25"/>
        <v>2583.7224274281393</v>
      </c>
      <c r="X106" s="112">
        <f t="shared" si="25"/>
        <v>2906.6877308566568</v>
      </c>
      <c r="Y106" s="112">
        <f t="shared" si="25"/>
        <v>3229.6530342851743</v>
      </c>
      <c r="Z106" s="112">
        <f t="shared" si="25"/>
        <v>3552.6183377136917</v>
      </c>
      <c r="AA106" s="112">
        <f t="shared" si="25"/>
        <v>3875.5836411422092</v>
      </c>
    </row>
    <row r="107" spans="1:27" x14ac:dyDescent="0.2">
      <c r="A107" s="10" t="s">
        <v>43</v>
      </c>
      <c r="B107" s="96">
        <f t="shared" ref="B107:M107" si="73">B44*B$66</f>
        <v>134.72584890702453</v>
      </c>
      <c r="C107" s="96">
        <f t="shared" si="73"/>
        <v>132.5105044138823</v>
      </c>
      <c r="D107" s="96">
        <f t="shared" si="73"/>
        <v>134.23180485557054</v>
      </c>
      <c r="E107" s="96">
        <f t="shared" si="73"/>
        <v>134.01194037811322</v>
      </c>
      <c r="F107" s="96">
        <f t="shared" si="73"/>
        <v>136.59449671212852</v>
      </c>
      <c r="G107" s="96">
        <f t="shared" si="73"/>
        <v>138.92951784894882</v>
      </c>
      <c r="H107" s="96">
        <f t="shared" si="73"/>
        <v>127.38996090211664</v>
      </c>
      <c r="I107" s="96">
        <f t="shared" si="73"/>
        <v>127.99739946211663</v>
      </c>
      <c r="J107" s="96">
        <f t="shared" si="73"/>
        <v>126.39431138211664</v>
      </c>
      <c r="K107" s="96">
        <f t="shared" si="73"/>
        <v>138.27703590211664</v>
      </c>
      <c r="L107" s="96">
        <f t="shared" si="73"/>
        <v>123.92162138211664</v>
      </c>
      <c r="M107" s="96">
        <f t="shared" si="73"/>
        <v>144.97382702211664</v>
      </c>
      <c r="N107" s="96">
        <f t="shared" si="29"/>
        <v>1599.9582691683679</v>
      </c>
      <c r="P107" s="119">
        <f t="shared" si="72"/>
        <v>134.72584890702453</v>
      </c>
      <c r="Q107" s="119">
        <f t="shared" si="35"/>
        <v>267.2363533209068</v>
      </c>
      <c r="R107" s="119">
        <f t="shared" si="25"/>
        <v>401.46815817647735</v>
      </c>
      <c r="S107" s="119">
        <f t="shared" si="25"/>
        <v>535.48009855459054</v>
      </c>
      <c r="T107" s="119">
        <f t="shared" si="25"/>
        <v>672.07459526671903</v>
      </c>
      <c r="U107" s="119">
        <f t="shared" si="25"/>
        <v>811.00411311566791</v>
      </c>
      <c r="V107" s="119">
        <f t="shared" si="25"/>
        <v>938.39407401778453</v>
      </c>
      <c r="W107" s="119">
        <f t="shared" si="25"/>
        <v>1066.3914734799012</v>
      </c>
      <c r="X107" s="119">
        <f t="shared" si="25"/>
        <v>1192.7857848620179</v>
      </c>
      <c r="Y107" s="119">
        <f t="shared" si="25"/>
        <v>1331.0628207641346</v>
      </c>
      <c r="Z107" s="119">
        <f t="shared" si="25"/>
        <v>1454.9844421462512</v>
      </c>
      <c r="AA107" s="119">
        <f t="shared" si="25"/>
        <v>1599.9582691683679</v>
      </c>
    </row>
    <row r="108" spans="1:27" x14ac:dyDescent="0.2">
      <c r="A108" s="10"/>
      <c r="B108" s="245">
        <f>SUM(B106:B107)</f>
        <v>457.69115233554191</v>
      </c>
      <c r="C108" s="245">
        <f t="shared" ref="C108:M108" si="74">SUM(C106:C107)</f>
        <v>455.47580784239972</v>
      </c>
      <c r="D108" s="245">
        <f t="shared" si="74"/>
        <v>457.19710828408796</v>
      </c>
      <c r="E108" s="245">
        <f t="shared" si="74"/>
        <v>456.97724380663067</v>
      </c>
      <c r="F108" s="245">
        <f t="shared" si="74"/>
        <v>459.55980014064596</v>
      </c>
      <c r="G108" s="245">
        <f t="shared" si="74"/>
        <v>461.89482127746624</v>
      </c>
      <c r="H108" s="245">
        <f t="shared" si="74"/>
        <v>450.35526433063404</v>
      </c>
      <c r="I108" s="245">
        <f t="shared" si="74"/>
        <v>450.96270289063403</v>
      </c>
      <c r="J108" s="245">
        <f t="shared" si="74"/>
        <v>449.35961481063407</v>
      </c>
      <c r="K108" s="245">
        <f t="shared" si="74"/>
        <v>461.24233933063408</v>
      </c>
      <c r="L108" s="245">
        <f t="shared" si="74"/>
        <v>446.88692481063407</v>
      </c>
      <c r="M108" s="245">
        <f t="shared" si="74"/>
        <v>467.93913045063402</v>
      </c>
      <c r="N108" s="245">
        <f t="shared" si="29"/>
        <v>5475.5419103105769</v>
      </c>
      <c r="P108" s="112">
        <f t="shared" si="72"/>
        <v>457.69115233554191</v>
      </c>
      <c r="Q108" s="112">
        <f t="shared" si="35"/>
        <v>913.16696017794163</v>
      </c>
      <c r="R108" s="112">
        <f t="shared" si="25"/>
        <v>1370.3640684620295</v>
      </c>
      <c r="S108" s="112">
        <f t="shared" si="25"/>
        <v>1827.3413122686602</v>
      </c>
      <c r="T108" s="112">
        <f t="shared" si="25"/>
        <v>2286.9011124093063</v>
      </c>
      <c r="U108" s="112">
        <f t="shared" si="25"/>
        <v>2748.7959336867725</v>
      </c>
      <c r="V108" s="112">
        <f t="shared" si="25"/>
        <v>3199.1511980174064</v>
      </c>
      <c r="W108" s="112">
        <f t="shared" si="25"/>
        <v>3650.1139009080403</v>
      </c>
      <c r="X108" s="112">
        <f t="shared" si="25"/>
        <v>4099.4735157186742</v>
      </c>
      <c r="Y108" s="112">
        <f t="shared" si="25"/>
        <v>4560.7158550493086</v>
      </c>
      <c r="Z108" s="112">
        <f t="shared" si="25"/>
        <v>5007.6027798599425</v>
      </c>
      <c r="AA108" s="112">
        <f t="shared" si="25"/>
        <v>5475.5419103105769</v>
      </c>
    </row>
    <row r="109" spans="1:27" x14ac:dyDescent="0.2">
      <c r="A109" s="10"/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12"/>
      <c r="M109" s="12"/>
      <c r="N109" s="17">
        <f t="shared" si="29"/>
        <v>0</v>
      </c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</row>
    <row r="110" spans="1:27" x14ac:dyDescent="0.2">
      <c r="A110" s="16" t="s">
        <v>44</v>
      </c>
      <c r="B110" s="96">
        <f t="shared" ref="B110:M110" si="75">B47*B$66</f>
        <v>0</v>
      </c>
      <c r="C110" s="96">
        <f t="shared" si="75"/>
        <v>0</v>
      </c>
      <c r="D110" s="96">
        <f t="shared" si="75"/>
        <v>0</v>
      </c>
      <c r="E110" s="96">
        <f t="shared" si="75"/>
        <v>0</v>
      </c>
      <c r="F110" s="96">
        <f t="shared" si="75"/>
        <v>0</v>
      </c>
      <c r="G110" s="96">
        <f t="shared" si="75"/>
        <v>0</v>
      </c>
      <c r="H110" s="96">
        <f t="shared" si="75"/>
        <v>0</v>
      </c>
      <c r="I110" s="96">
        <f t="shared" si="75"/>
        <v>0</v>
      </c>
      <c r="J110" s="96">
        <f t="shared" si="75"/>
        <v>0</v>
      </c>
      <c r="K110" s="96">
        <f t="shared" si="75"/>
        <v>0</v>
      </c>
      <c r="L110" s="96">
        <f t="shared" si="75"/>
        <v>0</v>
      </c>
      <c r="M110" s="96">
        <f t="shared" si="75"/>
        <v>0</v>
      </c>
      <c r="N110" s="96">
        <f t="shared" si="29"/>
        <v>0</v>
      </c>
      <c r="P110" s="112">
        <v>0</v>
      </c>
      <c r="Q110" s="112">
        <f t="shared" si="35"/>
        <v>0</v>
      </c>
      <c r="R110" s="112">
        <f t="shared" si="25"/>
        <v>0</v>
      </c>
      <c r="S110" s="112">
        <f t="shared" si="25"/>
        <v>0</v>
      </c>
      <c r="T110" s="112">
        <f t="shared" si="25"/>
        <v>0</v>
      </c>
      <c r="U110" s="112">
        <f t="shared" si="25"/>
        <v>0</v>
      </c>
      <c r="V110" s="112">
        <f t="shared" si="25"/>
        <v>0</v>
      </c>
      <c r="W110" s="112">
        <f t="shared" si="25"/>
        <v>0</v>
      </c>
      <c r="X110" s="112">
        <f t="shared" si="25"/>
        <v>0</v>
      </c>
      <c r="Y110" s="112">
        <f t="shared" si="25"/>
        <v>0</v>
      </c>
      <c r="Z110" s="112">
        <f t="shared" si="25"/>
        <v>0</v>
      </c>
      <c r="AA110" s="112">
        <f t="shared" si="25"/>
        <v>0</v>
      </c>
    </row>
    <row r="111" spans="1:27" ht="13.5" thickBot="1" x14ac:dyDescent="0.25">
      <c r="A111" s="10"/>
      <c r="B111" s="98"/>
      <c r="C111" s="98"/>
      <c r="D111" s="98"/>
      <c r="E111" s="98"/>
      <c r="F111" s="98"/>
      <c r="G111" s="98"/>
      <c r="H111" s="98"/>
      <c r="I111" s="98"/>
      <c r="J111" s="98"/>
      <c r="K111" s="98"/>
      <c r="L111" s="12"/>
      <c r="M111" s="12"/>
      <c r="N111" s="17">
        <f t="shared" si="29"/>
        <v>0</v>
      </c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</row>
    <row r="112" spans="1:27" ht="13.5" thickBot="1" x14ac:dyDescent="0.25">
      <c r="A112" s="33" t="s">
        <v>45</v>
      </c>
      <c r="B112" s="103">
        <f>+B96-B103-B108-B110</f>
        <v>1831.2905923569629</v>
      </c>
      <c r="C112" s="103">
        <f t="shared" ref="C112:M112" si="76">+C96-C103-C108-C110</f>
        <v>2326.1682760773779</v>
      </c>
      <c r="D112" s="103">
        <f t="shared" si="76"/>
        <v>2337.9287152691509</v>
      </c>
      <c r="E112" s="103">
        <f t="shared" si="76"/>
        <v>2505.4489973116856</v>
      </c>
      <c r="F112" s="103">
        <f t="shared" si="76"/>
        <v>1919.4906914784974</v>
      </c>
      <c r="G112" s="103">
        <f t="shared" si="76"/>
        <v>1836.6899178710373</v>
      </c>
      <c r="H112" s="103">
        <f t="shared" si="76"/>
        <v>1466.2117090997565</v>
      </c>
      <c r="I112" s="103">
        <f t="shared" si="76"/>
        <v>-201.33662606464662</v>
      </c>
      <c r="J112" s="103">
        <f t="shared" si="76"/>
        <v>2047.6754318049234</v>
      </c>
      <c r="K112" s="103">
        <f t="shared" si="76"/>
        <v>2581.2554445902265</v>
      </c>
      <c r="L112" s="103">
        <f t="shared" si="76"/>
        <v>1869.6091858722705</v>
      </c>
      <c r="M112" s="103">
        <f t="shared" si="76"/>
        <v>487.83914093332726</v>
      </c>
      <c r="N112" s="103">
        <f t="shared" si="29"/>
        <v>21008.27147660057</v>
      </c>
      <c r="P112" s="118">
        <f>B112</f>
        <v>1831.2905923569629</v>
      </c>
      <c r="Q112" s="118">
        <f t="shared" si="35"/>
        <v>4157.4588684343407</v>
      </c>
      <c r="R112" s="118">
        <f t="shared" si="25"/>
        <v>6495.3875837034921</v>
      </c>
      <c r="S112" s="118">
        <f t="shared" si="25"/>
        <v>9000.8365810151772</v>
      </c>
      <c r="T112" s="118">
        <f t="shared" si="25"/>
        <v>10920.327272493674</v>
      </c>
      <c r="U112" s="118">
        <f t="shared" si="25"/>
        <v>12757.017190364711</v>
      </c>
      <c r="V112" s="118">
        <f t="shared" si="25"/>
        <v>14223.228899464468</v>
      </c>
      <c r="W112" s="118">
        <f t="shared" si="25"/>
        <v>14021.892273399821</v>
      </c>
      <c r="X112" s="118">
        <f t="shared" si="25"/>
        <v>16069.567705204743</v>
      </c>
      <c r="Y112" s="118">
        <f t="shared" si="25"/>
        <v>18650.823149794971</v>
      </c>
      <c r="Z112" s="118">
        <f t="shared" si="25"/>
        <v>20520.432335667243</v>
      </c>
      <c r="AA112" s="118">
        <f t="shared" si="25"/>
        <v>21008.27147660057</v>
      </c>
    </row>
    <row r="113" spans="1:27" ht="13.5" thickBot="1" x14ac:dyDescent="0.25">
      <c r="A113" s="10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>
        <f t="shared" si="29"/>
        <v>0</v>
      </c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</row>
    <row r="114" spans="1:27" ht="13.5" thickBot="1" x14ac:dyDescent="0.25">
      <c r="A114" s="33" t="s">
        <v>46</v>
      </c>
      <c r="B114" s="103">
        <f t="shared" ref="B114:M114" si="77">+B112+B92</f>
        <v>1982.1236117469628</v>
      </c>
      <c r="C114" s="103">
        <f t="shared" si="77"/>
        <v>2477.001295467378</v>
      </c>
      <c r="D114" s="103">
        <f t="shared" si="77"/>
        <v>2488.761734659151</v>
      </c>
      <c r="E114" s="103">
        <f t="shared" si="77"/>
        <v>2656.2820167016857</v>
      </c>
      <c r="F114" s="103">
        <f t="shared" si="77"/>
        <v>2070.3237108684975</v>
      </c>
      <c r="G114" s="103">
        <f t="shared" si="77"/>
        <v>1990.496853927704</v>
      </c>
      <c r="H114" s="103">
        <f t="shared" si="77"/>
        <v>1621.2886451564232</v>
      </c>
      <c r="I114" s="103">
        <f t="shared" si="77"/>
        <v>-46.259690007980026</v>
      </c>
      <c r="J114" s="103">
        <f t="shared" si="77"/>
        <v>2211.1053292940969</v>
      </c>
      <c r="K114" s="103">
        <f t="shared" si="77"/>
        <v>2744.6853420794</v>
      </c>
      <c r="L114" s="103">
        <f t="shared" si="77"/>
        <v>2040.3659683633223</v>
      </c>
      <c r="M114" s="103">
        <f t="shared" si="77"/>
        <v>659.86592342437905</v>
      </c>
      <c r="N114" s="103">
        <f t="shared" si="29"/>
        <v>22896.040741681019</v>
      </c>
      <c r="P114" s="118">
        <f>B114</f>
        <v>1982.1236117469628</v>
      </c>
      <c r="Q114" s="118">
        <f t="shared" si="35"/>
        <v>4459.124907214341</v>
      </c>
      <c r="R114" s="118">
        <f t="shared" si="25"/>
        <v>6947.8866418734924</v>
      </c>
      <c r="S114" s="118">
        <f t="shared" si="25"/>
        <v>9604.1686585751777</v>
      </c>
      <c r="T114" s="118">
        <f t="shared" si="25"/>
        <v>11674.492369443675</v>
      </c>
      <c r="U114" s="118">
        <f t="shared" si="25"/>
        <v>13664.989223371378</v>
      </c>
      <c r="V114" s="118">
        <f t="shared" si="25"/>
        <v>15286.277868527801</v>
      </c>
      <c r="W114" s="118">
        <f t="shared" si="25"/>
        <v>15240.01817851982</v>
      </c>
      <c r="X114" s="118">
        <f t="shared" si="25"/>
        <v>17451.123507813918</v>
      </c>
      <c r="Y114" s="118">
        <f t="shared" si="25"/>
        <v>20195.808849893318</v>
      </c>
      <c r="Z114" s="118">
        <f t="shared" si="25"/>
        <v>22236.174818256641</v>
      </c>
      <c r="AA114" s="118">
        <f t="shared" si="25"/>
        <v>22896.040741681019</v>
      </c>
    </row>
    <row r="115" spans="1:27" x14ac:dyDescent="0.2">
      <c r="A115" s="10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12"/>
      <c r="M115" s="12"/>
      <c r="N115" s="17">
        <f t="shared" si="29"/>
        <v>0</v>
      </c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</row>
    <row r="116" spans="1:27" x14ac:dyDescent="0.2">
      <c r="A116" s="16" t="s">
        <v>47</v>
      </c>
      <c r="B116" s="96">
        <f t="shared" ref="B116:M116" si="78">B53*B$66</f>
        <v>279.63733342465758</v>
      </c>
      <c r="C116" s="96">
        <f t="shared" si="78"/>
        <v>252.89520438356163</v>
      </c>
      <c r="D116" s="96">
        <f t="shared" si="78"/>
        <v>279.63733342465758</v>
      </c>
      <c r="E116" s="96">
        <f t="shared" si="78"/>
        <v>270.7232904109589</v>
      </c>
      <c r="F116" s="96">
        <f t="shared" si="78"/>
        <v>279.63733342465758</v>
      </c>
      <c r="G116" s="96">
        <f t="shared" si="78"/>
        <v>270.7232904109589</v>
      </c>
      <c r="H116" s="96">
        <f t="shared" si="78"/>
        <v>279.63733342465758</v>
      </c>
      <c r="I116" s="96">
        <f t="shared" si="78"/>
        <v>279.63733342465758</v>
      </c>
      <c r="J116" s="96">
        <f t="shared" si="78"/>
        <v>270.7232904109589</v>
      </c>
      <c r="K116" s="96">
        <f t="shared" si="78"/>
        <v>279.63733342465758</v>
      </c>
      <c r="L116" s="96">
        <f t="shared" si="78"/>
        <v>270.7232904109589</v>
      </c>
      <c r="M116" s="96">
        <f t="shared" si="78"/>
        <v>279.63733342465758</v>
      </c>
      <c r="N116" s="96">
        <f t="shared" si="29"/>
        <v>3293.2497000000003</v>
      </c>
      <c r="P116" s="112">
        <f>B116</f>
        <v>279.63733342465758</v>
      </c>
      <c r="Q116" s="112">
        <f t="shared" si="35"/>
        <v>532.53253780821922</v>
      </c>
      <c r="R116" s="112">
        <f t="shared" si="25"/>
        <v>812.16987123287686</v>
      </c>
      <c r="S116" s="112">
        <f t="shared" si="25"/>
        <v>1082.8931616438358</v>
      </c>
      <c r="T116" s="112">
        <f t="shared" si="25"/>
        <v>1362.5304950684933</v>
      </c>
      <c r="U116" s="112">
        <f t="shared" si="25"/>
        <v>1633.2537854794523</v>
      </c>
      <c r="V116" s="112">
        <f t="shared" si="25"/>
        <v>1912.8911189041098</v>
      </c>
      <c r="W116" s="112">
        <f t="shared" si="25"/>
        <v>2192.5284523287673</v>
      </c>
      <c r="X116" s="112">
        <f t="shared" si="25"/>
        <v>2463.2517427397261</v>
      </c>
      <c r="Y116" s="112">
        <f t="shared" si="25"/>
        <v>2742.8890761643838</v>
      </c>
      <c r="Z116" s="112">
        <f t="shared" si="25"/>
        <v>3013.6123665753425</v>
      </c>
      <c r="AA116" s="112">
        <f t="shared" si="25"/>
        <v>3293.2497000000003</v>
      </c>
    </row>
    <row r="117" spans="1:27" ht="13.5" thickBot="1" x14ac:dyDescent="0.25">
      <c r="A117" s="10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11"/>
      <c r="M117" s="11"/>
      <c r="N117" s="21">
        <f t="shared" si="29"/>
        <v>0</v>
      </c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</row>
    <row r="118" spans="1:27" ht="13.5" thickBot="1" x14ac:dyDescent="0.25">
      <c r="A118" s="36" t="s">
        <v>48</v>
      </c>
      <c r="B118" s="103">
        <f>+B112-B116</f>
        <v>1551.6532589323053</v>
      </c>
      <c r="C118" s="103">
        <f t="shared" ref="C118:M118" si="79">+C112-C116</f>
        <v>2073.2730716938163</v>
      </c>
      <c r="D118" s="103">
        <f t="shared" si="79"/>
        <v>2058.2913818444931</v>
      </c>
      <c r="E118" s="103">
        <f t="shared" si="79"/>
        <v>2234.7257069007269</v>
      </c>
      <c r="F118" s="103">
        <f t="shared" si="79"/>
        <v>1639.8533580538399</v>
      </c>
      <c r="G118" s="103">
        <f t="shared" si="79"/>
        <v>1565.9666274600784</v>
      </c>
      <c r="H118" s="103">
        <f t="shared" si="79"/>
        <v>1186.574375675099</v>
      </c>
      <c r="I118" s="103">
        <f t="shared" si="79"/>
        <v>-480.97395948930421</v>
      </c>
      <c r="J118" s="103">
        <f t="shared" si="79"/>
        <v>1776.9521413939644</v>
      </c>
      <c r="K118" s="103">
        <f t="shared" si="79"/>
        <v>2301.6181111655687</v>
      </c>
      <c r="L118" s="103">
        <f t="shared" si="79"/>
        <v>1598.8858954613115</v>
      </c>
      <c r="M118" s="103">
        <f t="shared" si="79"/>
        <v>208.20180750866967</v>
      </c>
      <c r="N118" s="103">
        <f t="shared" si="29"/>
        <v>17715.02177660057</v>
      </c>
      <c r="P118" s="118">
        <f>B118</f>
        <v>1551.6532589323053</v>
      </c>
      <c r="Q118" s="118">
        <f t="shared" si="35"/>
        <v>3624.9263306261219</v>
      </c>
      <c r="R118" s="118">
        <f t="shared" si="25"/>
        <v>5683.217712470615</v>
      </c>
      <c r="S118" s="118">
        <f t="shared" si="25"/>
        <v>7917.9434193713423</v>
      </c>
      <c r="T118" s="118">
        <f t="shared" si="25"/>
        <v>9557.7967774251829</v>
      </c>
      <c r="U118" s="118">
        <f t="shared" si="25"/>
        <v>11123.763404885261</v>
      </c>
      <c r="V118" s="118">
        <f t="shared" si="25"/>
        <v>12310.33778056036</v>
      </c>
      <c r="W118" s="118">
        <f t="shared" si="25"/>
        <v>11829.363821071056</v>
      </c>
      <c r="X118" s="118">
        <f t="shared" si="25"/>
        <v>13606.31596246502</v>
      </c>
      <c r="Y118" s="118">
        <f t="shared" si="25"/>
        <v>15907.934073630589</v>
      </c>
      <c r="Z118" s="118">
        <f t="shared" si="25"/>
        <v>17506.819969091899</v>
      </c>
      <c r="AA118" s="118">
        <f t="shared" si="25"/>
        <v>17715.02177660057</v>
      </c>
    </row>
    <row r="119" spans="1:27" x14ac:dyDescent="0.2">
      <c r="A119" s="10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11"/>
      <c r="M119" s="11"/>
      <c r="N119" s="9">
        <f t="shared" si="29"/>
        <v>0</v>
      </c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</row>
    <row r="120" spans="1:27" x14ac:dyDescent="0.2">
      <c r="A120" s="16" t="s">
        <v>49</v>
      </c>
      <c r="B120" s="96">
        <f t="shared" ref="B120:M120" si="80">B57*B$66</f>
        <v>387.35</v>
      </c>
      <c r="C120" s="96">
        <f t="shared" si="80"/>
        <v>518.16</v>
      </c>
      <c r="D120" s="96">
        <f t="shared" si="80"/>
        <v>514.35</v>
      </c>
      <c r="E120" s="96">
        <f t="shared" si="80"/>
        <v>558.79999999999995</v>
      </c>
      <c r="F120" s="96">
        <f t="shared" si="80"/>
        <v>410.21</v>
      </c>
      <c r="G120" s="96">
        <f t="shared" si="80"/>
        <v>391.16</v>
      </c>
      <c r="H120" s="96">
        <f t="shared" si="80"/>
        <v>297.18</v>
      </c>
      <c r="I120" s="96">
        <f t="shared" si="80"/>
        <v>-120.65</v>
      </c>
      <c r="J120" s="96">
        <f t="shared" si="80"/>
        <v>444.5</v>
      </c>
      <c r="K120" s="96">
        <f t="shared" si="80"/>
        <v>575.31000000000006</v>
      </c>
      <c r="L120" s="96">
        <f t="shared" si="80"/>
        <v>400.05</v>
      </c>
      <c r="M120" s="96">
        <f t="shared" si="80"/>
        <v>52.07</v>
      </c>
      <c r="N120" s="96">
        <f t="shared" si="29"/>
        <v>4428.4899999999989</v>
      </c>
      <c r="P120" s="112">
        <f>B120</f>
        <v>387.35</v>
      </c>
      <c r="Q120" s="112">
        <f t="shared" si="35"/>
        <v>905.51</v>
      </c>
      <c r="R120" s="112">
        <f t="shared" si="25"/>
        <v>1419.8600000000001</v>
      </c>
      <c r="S120" s="112">
        <f t="shared" si="25"/>
        <v>1978.66</v>
      </c>
      <c r="T120" s="112">
        <f t="shared" si="25"/>
        <v>2388.87</v>
      </c>
      <c r="U120" s="112">
        <f t="shared" si="25"/>
        <v>2780.0299999999997</v>
      </c>
      <c r="V120" s="112">
        <f t="shared" si="25"/>
        <v>3077.2099999999996</v>
      </c>
      <c r="W120" s="112">
        <f t="shared" si="25"/>
        <v>2956.5599999999995</v>
      </c>
      <c r="X120" s="112">
        <f t="shared" si="25"/>
        <v>3401.0599999999995</v>
      </c>
      <c r="Y120" s="112">
        <f t="shared" si="25"/>
        <v>3976.3699999999994</v>
      </c>
      <c r="Z120" s="112">
        <f t="shared" si="25"/>
        <v>4376.4199999999992</v>
      </c>
      <c r="AA120" s="112">
        <f t="shared" si="25"/>
        <v>4428.4899999999989</v>
      </c>
    </row>
    <row r="121" spans="1:27" ht="13.5" thickBot="1" x14ac:dyDescent="0.25">
      <c r="A121" s="10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1">
        <f t="shared" si="29"/>
        <v>0</v>
      </c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</row>
    <row r="122" spans="1:27" ht="13.5" thickBot="1" x14ac:dyDescent="0.25">
      <c r="A122" s="36" t="s">
        <v>50</v>
      </c>
      <c r="B122" s="34">
        <f t="shared" ref="B122:M122" si="81">+B118-B120</f>
        <v>1164.3032589323052</v>
      </c>
      <c r="C122" s="34">
        <f t="shared" si="81"/>
        <v>1555.1130716938164</v>
      </c>
      <c r="D122" s="34">
        <f t="shared" si="81"/>
        <v>1543.9413818444932</v>
      </c>
      <c r="E122" s="34">
        <f t="shared" si="81"/>
        <v>1675.9257069007269</v>
      </c>
      <c r="F122" s="34">
        <f t="shared" si="81"/>
        <v>1229.6433580538398</v>
      </c>
      <c r="G122" s="34">
        <f t="shared" si="81"/>
        <v>1174.8066274600783</v>
      </c>
      <c r="H122" s="34">
        <f t="shared" si="81"/>
        <v>889.3943756750989</v>
      </c>
      <c r="I122" s="34">
        <f t="shared" si="81"/>
        <v>-360.32395948930423</v>
      </c>
      <c r="J122" s="34">
        <f t="shared" si="81"/>
        <v>1332.4521413939644</v>
      </c>
      <c r="K122" s="34">
        <f t="shared" si="81"/>
        <v>1726.3081111655688</v>
      </c>
      <c r="L122" s="34">
        <f t="shared" si="81"/>
        <v>1198.8358954613116</v>
      </c>
      <c r="M122" s="34">
        <f t="shared" si="81"/>
        <v>156.13180750866968</v>
      </c>
      <c r="N122" s="34">
        <f t="shared" si="29"/>
        <v>13286.53177660057</v>
      </c>
      <c r="P122" s="118">
        <f>B122</f>
        <v>1164.3032589323052</v>
      </c>
      <c r="Q122" s="118">
        <f t="shared" si="35"/>
        <v>2719.4163306261216</v>
      </c>
      <c r="R122" s="118">
        <f t="shared" si="25"/>
        <v>4263.3577124706153</v>
      </c>
      <c r="S122" s="118">
        <f t="shared" si="25"/>
        <v>5939.2834193713425</v>
      </c>
      <c r="T122" s="118">
        <f t="shared" si="25"/>
        <v>7168.9267774251821</v>
      </c>
      <c r="U122" s="118">
        <f t="shared" si="25"/>
        <v>8343.7334048852608</v>
      </c>
      <c r="V122" s="118">
        <f t="shared" si="25"/>
        <v>9233.1277805603604</v>
      </c>
      <c r="W122" s="118">
        <f t="shared" si="25"/>
        <v>8872.8038210710565</v>
      </c>
      <c r="X122" s="118">
        <f t="shared" si="25"/>
        <v>10205.25596246502</v>
      </c>
      <c r="Y122" s="118">
        <f t="shared" si="25"/>
        <v>11931.564073630589</v>
      </c>
      <c r="Z122" s="118">
        <f t="shared" si="25"/>
        <v>13130.399969091901</v>
      </c>
      <c r="AA122" s="118">
        <f t="shared" si="25"/>
        <v>13286.53177660057</v>
      </c>
    </row>
    <row r="123" spans="1:27" x14ac:dyDescent="0.2">
      <c r="N123" s="6">
        <f t="shared" si="29"/>
        <v>0</v>
      </c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</row>
    <row r="124" spans="1:27" x14ac:dyDescent="0.2"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</row>
    <row r="125" spans="1:27" x14ac:dyDescent="0.2"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</row>
    <row r="126" spans="1:27" x14ac:dyDescent="0.2"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</row>
    <row r="127" spans="1:27" x14ac:dyDescent="0.2">
      <c r="A127" s="2" t="s">
        <v>304</v>
      </c>
      <c r="B127" s="6">
        <v>740.46897629065847</v>
      </c>
      <c r="C127" s="6">
        <v>759.70445111533354</v>
      </c>
      <c r="D127" s="6">
        <v>771.50164676899294</v>
      </c>
      <c r="E127" s="6">
        <v>772.64133232775146</v>
      </c>
      <c r="F127" s="6">
        <v>756.94003847851957</v>
      </c>
      <c r="G127" s="6">
        <v>751.74685891321803</v>
      </c>
      <c r="H127" s="6">
        <v>738.5008457613103</v>
      </c>
      <c r="I127" s="6">
        <v>740.51564515362691</v>
      </c>
      <c r="J127" s="6">
        <v>753.45034981866559</v>
      </c>
      <c r="K127" s="6">
        <v>762.99416125039477</v>
      </c>
      <c r="L127" s="6">
        <v>742.8715316189099</v>
      </c>
      <c r="M127" s="6">
        <v>723.33055837001007</v>
      </c>
      <c r="N127" s="6">
        <v>752.27159275283543</v>
      </c>
      <c r="P127" s="121"/>
      <c r="Q127" s="121"/>
    </row>
    <row r="128" spans="1:27" x14ac:dyDescent="0.2">
      <c r="A128" s="2" t="s">
        <v>303</v>
      </c>
      <c r="B128" s="229">
        <v>523.18085438522053</v>
      </c>
      <c r="C128" s="229">
        <v>523.18085438522053</v>
      </c>
      <c r="D128" s="229">
        <v>523.18085438522053</v>
      </c>
      <c r="E128" s="229">
        <v>540.91525870001362</v>
      </c>
      <c r="F128" s="229">
        <v>537.40517726759845</v>
      </c>
      <c r="G128" s="229">
        <v>535.52477650023297</v>
      </c>
      <c r="H128" s="229">
        <v>533.21910786377521</v>
      </c>
      <c r="I128" s="229">
        <v>531.55361004125166</v>
      </c>
      <c r="J128" s="229">
        <v>529.92392937620184</v>
      </c>
      <c r="K128" s="229">
        <v>526.61151171733763</v>
      </c>
      <c r="L128" s="229">
        <v>525.23255115460324</v>
      </c>
      <c r="M128" s="229">
        <v>523.88940774934213</v>
      </c>
      <c r="N128" s="229">
        <v>529.5219022160328</v>
      </c>
      <c r="P128" s="121"/>
      <c r="Q128" s="121"/>
    </row>
    <row r="130" spans="1:27" x14ac:dyDescent="0.2">
      <c r="A130" s="7" t="s">
        <v>107</v>
      </c>
      <c r="B130" s="229">
        <v>18082.489967999998</v>
      </c>
      <c r="C130" s="229">
        <v>17558.359823999999</v>
      </c>
      <c r="D130" s="229">
        <v>16772.164607999999</v>
      </c>
      <c r="E130" s="229">
        <v>17558.359823999999</v>
      </c>
      <c r="F130" s="229">
        <v>17558.359823999999</v>
      </c>
      <c r="G130" s="229">
        <v>17034.22968</v>
      </c>
      <c r="H130" s="229">
        <v>16510.099535999998</v>
      </c>
      <c r="I130" s="229">
        <v>12317.058383999998</v>
      </c>
      <c r="J130" s="229">
        <v>17558.359823999999</v>
      </c>
      <c r="K130" s="229">
        <v>19130.750255999999</v>
      </c>
      <c r="L130" s="229">
        <v>17820.424896</v>
      </c>
      <c r="M130" s="229">
        <v>12317.058383999998</v>
      </c>
      <c r="N130" s="229">
        <v>200217.71500800003</v>
      </c>
      <c r="P130" s="121">
        <f>B130</f>
        <v>18082.489967999998</v>
      </c>
      <c r="Q130" s="121">
        <f t="shared" si="35"/>
        <v>35640.849791999994</v>
      </c>
      <c r="R130" s="121">
        <f t="shared" si="35"/>
        <v>52413.014399999993</v>
      </c>
      <c r="S130" s="121">
        <f t="shared" si="35"/>
        <v>69971.374223999999</v>
      </c>
      <c r="T130" s="121">
        <f t="shared" si="35"/>
        <v>87529.734047999998</v>
      </c>
      <c r="U130" s="121">
        <f t="shared" si="35"/>
        <v>104563.963728</v>
      </c>
      <c r="V130" s="121">
        <f t="shared" si="35"/>
        <v>121074.063264</v>
      </c>
      <c r="W130" s="121">
        <f t="shared" si="35"/>
        <v>133391.121648</v>
      </c>
      <c r="X130" s="121">
        <f t="shared" si="35"/>
        <v>150949.48147200001</v>
      </c>
      <c r="Y130" s="121">
        <f t="shared" si="35"/>
        <v>170080.23172800001</v>
      </c>
      <c r="Z130" s="121">
        <f t="shared" si="35"/>
        <v>187900.65662400002</v>
      </c>
      <c r="AA130" s="121">
        <f t="shared" si="35"/>
        <v>200217.71500800003</v>
      </c>
    </row>
    <row r="131" spans="1:27" x14ac:dyDescent="0.2">
      <c r="A131" s="7" t="s">
        <v>151</v>
      </c>
      <c r="B131" s="229">
        <v>18082.489967999998</v>
      </c>
      <c r="C131" s="229">
        <v>17558.359823999999</v>
      </c>
      <c r="D131" s="229">
        <v>16772.164607999999</v>
      </c>
      <c r="E131" s="229">
        <v>17558.359823999999</v>
      </c>
      <c r="F131" s="229">
        <v>17558.359823999999</v>
      </c>
      <c r="G131" s="229">
        <v>17034.22968</v>
      </c>
      <c r="H131" s="229">
        <v>16510.099535999998</v>
      </c>
      <c r="I131" s="229">
        <v>12317.058383999998</v>
      </c>
      <c r="J131" s="229">
        <v>17558.359823999999</v>
      </c>
      <c r="K131" s="229">
        <v>19130.750255999999</v>
      </c>
      <c r="L131" s="229">
        <v>17820.424896</v>
      </c>
      <c r="M131" s="229">
        <v>12317.058383999998</v>
      </c>
      <c r="N131" s="229">
        <v>200217.71500800003</v>
      </c>
      <c r="P131" s="121">
        <f>B131</f>
        <v>18082.489967999998</v>
      </c>
      <c r="Q131" s="121">
        <f t="shared" si="35"/>
        <v>35640.849791999994</v>
      </c>
      <c r="R131" s="121">
        <f t="shared" si="35"/>
        <v>52413.014399999993</v>
      </c>
      <c r="S131" s="121">
        <f t="shared" si="35"/>
        <v>69971.374223999999</v>
      </c>
      <c r="T131" s="121">
        <f t="shared" si="35"/>
        <v>87529.734047999998</v>
      </c>
      <c r="U131" s="121">
        <f t="shared" si="35"/>
        <v>104563.963728</v>
      </c>
      <c r="V131" s="121">
        <f t="shared" si="35"/>
        <v>121074.063264</v>
      </c>
      <c r="W131" s="121">
        <f t="shared" si="35"/>
        <v>133391.121648</v>
      </c>
      <c r="X131" s="121">
        <f t="shared" si="35"/>
        <v>150949.48147200001</v>
      </c>
      <c r="Y131" s="121">
        <f t="shared" si="35"/>
        <v>170080.23172800001</v>
      </c>
      <c r="Z131" s="121">
        <f t="shared" si="35"/>
        <v>187900.65662400002</v>
      </c>
      <c r="AA131" s="121">
        <f t="shared" si="35"/>
        <v>200217.71500800003</v>
      </c>
    </row>
    <row r="132" spans="1:27" x14ac:dyDescent="0.2">
      <c r="A132" s="7" t="s">
        <v>108</v>
      </c>
      <c r="B132" s="229">
        <f>B130*1.08</f>
        <v>19529.08916544</v>
      </c>
      <c r="C132" s="229">
        <f t="shared" ref="C132:N132" si="82">C130*1.08</f>
        <v>18963.028609920002</v>
      </c>
      <c r="D132" s="229">
        <f t="shared" si="82"/>
        <v>18113.937776639999</v>
      </c>
      <c r="E132" s="229">
        <f t="shared" si="82"/>
        <v>18963.028609920002</v>
      </c>
      <c r="F132" s="229">
        <f t="shared" si="82"/>
        <v>18963.028609920002</v>
      </c>
      <c r="G132" s="229">
        <f t="shared" si="82"/>
        <v>18396.9680544</v>
      </c>
      <c r="H132" s="229">
        <f t="shared" si="82"/>
        <v>17830.907498879998</v>
      </c>
      <c r="I132" s="229">
        <f t="shared" si="82"/>
        <v>13302.423054719999</v>
      </c>
      <c r="J132" s="229">
        <f t="shared" si="82"/>
        <v>18963.028609920002</v>
      </c>
      <c r="K132" s="229">
        <f t="shared" si="82"/>
        <v>20661.21027648</v>
      </c>
      <c r="L132" s="229">
        <f t="shared" si="82"/>
        <v>19246.058887680003</v>
      </c>
      <c r="M132" s="229">
        <f t="shared" si="82"/>
        <v>13302.423054719999</v>
      </c>
      <c r="N132" s="229">
        <f t="shared" si="82"/>
        <v>216235.13220864005</v>
      </c>
      <c r="P132" s="121">
        <f>B132</f>
        <v>19529.08916544</v>
      </c>
      <c r="Q132" s="121">
        <f t="shared" si="35"/>
        <v>38492.117775360006</v>
      </c>
      <c r="R132" s="121">
        <f t="shared" si="35"/>
        <v>56606.055552000005</v>
      </c>
      <c r="S132" s="121">
        <f t="shared" si="35"/>
        <v>75569.084161920007</v>
      </c>
      <c r="T132" s="121">
        <f t="shared" si="35"/>
        <v>94532.112771840009</v>
      </c>
      <c r="U132" s="121">
        <f t="shared" si="35"/>
        <v>112929.08082624001</v>
      </c>
      <c r="V132" s="121">
        <f t="shared" si="35"/>
        <v>130759.98832512001</v>
      </c>
      <c r="W132" s="121">
        <f t="shared" si="35"/>
        <v>144062.41137983999</v>
      </c>
      <c r="X132" s="121">
        <f t="shared" si="35"/>
        <v>163025.43998975999</v>
      </c>
      <c r="Y132" s="121">
        <f t="shared" si="35"/>
        <v>183686.65026624</v>
      </c>
      <c r="Z132" s="121">
        <f t="shared" si="35"/>
        <v>202932.70915392</v>
      </c>
      <c r="AA132" s="121">
        <f t="shared" si="35"/>
        <v>216235.13220863999</v>
      </c>
    </row>
    <row r="133" spans="1:27" x14ac:dyDescent="0.2">
      <c r="A133" s="178" t="s">
        <v>152</v>
      </c>
      <c r="B133" s="193">
        <v>151.01659689733214</v>
      </c>
      <c r="C133" s="193">
        <v>148.91602851005294</v>
      </c>
      <c r="D133" s="193">
        <v>157.0583386917628</v>
      </c>
      <c r="E133" s="193">
        <v>147.78647371606689</v>
      </c>
      <c r="F133" s="193">
        <v>149.20490255357774</v>
      </c>
      <c r="G133" s="193">
        <v>148.0115913168855</v>
      </c>
      <c r="H133" s="193">
        <v>148.2568539235387</v>
      </c>
      <c r="I133" s="193">
        <v>243.61724520845831</v>
      </c>
      <c r="J133" s="193">
        <v>148.20490958454062</v>
      </c>
      <c r="K133" s="193">
        <v>145.14848750005808</v>
      </c>
      <c r="L133" s="193">
        <v>151.5239460513481</v>
      </c>
      <c r="M133" s="193">
        <v>190.32156971272883</v>
      </c>
      <c r="N133" s="193">
        <v>158.11973635820004</v>
      </c>
      <c r="P133" s="242">
        <f>B133</f>
        <v>151.01659689733214</v>
      </c>
      <c r="Q133" s="242">
        <f t="shared" si="35"/>
        <v>299.9326254073851</v>
      </c>
      <c r="R133" s="242">
        <f t="shared" si="35"/>
        <v>456.9909640991479</v>
      </c>
      <c r="S133" s="242">
        <f t="shared" si="35"/>
        <v>604.77743781521485</v>
      </c>
      <c r="T133" s="242">
        <f t="shared" si="35"/>
        <v>753.98234036879262</v>
      </c>
      <c r="U133" s="242">
        <f t="shared" si="35"/>
        <v>901.99393168567815</v>
      </c>
      <c r="V133" s="242">
        <f t="shared" si="35"/>
        <v>1050.2507856092168</v>
      </c>
      <c r="W133" s="242">
        <f t="shared" si="35"/>
        <v>1293.8680308176752</v>
      </c>
      <c r="X133" s="242">
        <f t="shared" si="35"/>
        <v>1442.0729404022159</v>
      </c>
      <c r="Y133" s="242">
        <f t="shared" si="35"/>
        <v>1587.2214279022739</v>
      </c>
      <c r="Z133" s="242">
        <f t="shared" si="35"/>
        <v>1738.745373953622</v>
      </c>
      <c r="AA133" s="242">
        <f t="shared" si="35"/>
        <v>1929.0669436663509</v>
      </c>
    </row>
    <row r="134" spans="1:27" x14ac:dyDescent="0.2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</row>
    <row r="135" spans="1:27" x14ac:dyDescent="0.2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</row>
    <row r="136" spans="1:27" x14ac:dyDescent="0.2">
      <c r="A136" s="49" t="s">
        <v>164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</row>
    <row r="137" spans="1:27" x14ac:dyDescent="0.2">
      <c r="A137" s="2" t="s">
        <v>167</v>
      </c>
      <c r="B137" s="229">
        <v>1128.3473740032018</v>
      </c>
      <c r="C137" s="229">
        <v>1095.6416530176023</v>
      </c>
      <c r="D137" s="229">
        <v>1046.5830715392003</v>
      </c>
      <c r="E137" s="229">
        <v>1095.6416530176023</v>
      </c>
      <c r="F137" s="229">
        <v>1095.6416530176023</v>
      </c>
      <c r="G137" s="229">
        <v>1062.935932032</v>
      </c>
      <c r="H137" s="229">
        <v>1030.2302110464004</v>
      </c>
      <c r="I137" s="229">
        <v>768.58444316160046</v>
      </c>
      <c r="J137" s="229">
        <v>1095.6416530176023</v>
      </c>
      <c r="K137" s="229">
        <v>1193.7588159744007</v>
      </c>
      <c r="L137" s="229">
        <v>1111.9945135104019</v>
      </c>
      <c r="M137" s="229">
        <v>768.58444316160046</v>
      </c>
      <c r="N137" s="229">
        <v>12493.585416499216</v>
      </c>
      <c r="P137" s="121">
        <f>B137</f>
        <v>1128.3473740032018</v>
      </c>
      <c r="Q137" s="121">
        <f t="shared" ref="Q137:AA139" si="83">P137+C137</f>
        <v>2223.9890270208043</v>
      </c>
      <c r="R137" s="121">
        <f t="shared" si="83"/>
        <v>3270.5720985600046</v>
      </c>
      <c r="S137" s="121">
        <f t="shared" si="83"/>
        <v>4366.2137515776067</v>
      </c>
      <c r="T137" s="121">
        <f t="shared" si="83"/>
        <v>5461.8554045952087</v>
      </c>
      <c r="U137" s="121">
        <f t="shared" si="83"/>
        <v>6524.7913366272087</v>
      </c>
      <c r="V137" s="121">
        <f t="shared" si="83"/>
        <v>7555.0215476736093</v>
      </c>
      <c r="W137" s="121">
        <f t="shared" si="83"/>
        <v>8323.605990835209</v>
      </c>
      <c r="X137" s="121">
        <f t="shared" si="83"/>
        <v>9419.247643852812</v>
      </c>
      <c r="Y137" s="121">
        <f t="shared" si="83"/>
        <v>10613.006459827213</v>
      </c>
      <c r="Z137" s="121">
        <f t="shared" si="83"/>
        <v>11725.000973337616</v>
      </c>
      <c r="AA137" s="121">
        <f t="shared" si="83"/>
        <v>12493.585416499216</v>
      </c>
    </row>
    <row r="138" spans="1:27" x14ac:dyDescent="0.2">
      <c r="A138" s="2" t="s">
        <v>165</v>
      </c>
      <c r="B138" s="229">
        <v>0</v>
      </c>
      <c r="C138" s="229">
        <v>0</v>
      </c>
      <c r="D138" s="229">
        <v>0</v>
      </c>
      <c r="E138" s="229">
        <v>0</v>
      </c>
      <c r="F138" s="229">
        <v>0</v>
      </c>
      <c r="G138" s="229">
        <v>0</v>
      </c>
      <c r="H138" s="229">
        <v>0</v>
      </c>
      <c r="I138" s="229">
        <v>0</v>
      </c>
      <c r="J138" s="229">
        <v>0</v>
      </c>
      <c r="K138" s="229">
        <v>0</v>
      </c>
      <c r="L138" s="229">
        <v>0</v>
      </c>
      <c r="M138" s="229">
        <v>0</v>
      </c>
      <c r="N138" s="229">
        <v>0</v>
      </c>
      <c r="P138" s="121">
        <f>B138</f>
        <v>0</v>
      </c>
      <c r="Q138" s="121">
        <f t="shared" si="83"/>
        <v>0</v>
      </c>
      <c r="R138" s="121">
        <f t="shared" si="83"/>
        <v>0</v>
      </c>
      <c r="S138" s="121">
        <f t="shared" si="83"/>
        <v>0</v>
      </c>
      <c r="T138" s="121">
        <f t="shared" si="83"/>
        <v>0</v>
      </c>
      <c r="U138" s="121">
        <f t="shared" si="83"/>
        <v>0</v>
      </c>
      <c r="V138" s="121">
        <f t="shared" si="83"/>
        <v>0</v>
      </c>
      <c r="W138" s="121">
        <f t="shared" si="83"/>
        <v>0</v>
      </c>
      <c r="X138" s="121">
        <f t="shared" si="83"/>
        <v>0</v>
      </c>
      <c r="Y138" s="121">
        <f t="shared" si="83"/>
        <v>0</v>
      </c>
      <c r="Z138" s="121">
        <f t="shared" si="83"/>
        <v>0</v>
      </c>
      <c r="AA138" s="121">
        <f t="shared" si="83"/>
        <v>0</v>
      </c>
    </row>
    <row r="139" spans="1:27" x14ac:dyDescent="0.2">
      <c r="A139" s="2" t="s">
        <v>166</v>
      </c>
      <c r="B139" s="229">
        <v>318.25182343680046</v>
      </c>
      <c r="C139" s="229">
        <v>309.02713290240064</v>
      </c>
      <c r="D139" s="229">
        <v>295.19009710080007</v>
      </c>
      <c r="E139" s="229">
        <v>309.02713290240064</v>
      </c>
      <c r="F139" s="229">
        <v>309.02713290240064</v>
      </c>
      <c r="G139" s="229">
        <v>299.80244236799996</v>
      </c>
      <c r="H139" s="229">
        <v>290.57775183360013</v>
      </c>
      <c r="I139" s="229">
        <v>216.7802275584001</v>
      </c>
      <c r="J139" s="229">
        <v>309.02713290240064</v>
      </c>
      <c r="K139" s="229">
        <v>336.70120450560017</v>
      </c>
      <c r="L139" s="229">
        <v>313.63947816960058</v>
      </c>
      <c r="M139" s="229">
        <v>216.7802275584001</v>
      </c>
      <c r="N139" s="229">
        <v>3523.8317841408043</v>
      </c>
      <c r="P139" s="121">
        <f>B139</f>
        <v>318.25182343680046</v>
      </c>
      <c r="Q139" s="121">
        <f t="shared" si="83"/>
        <v>627.27895633920116</v>
      </c>
      <c r="R139" s="121">
        <f t="shared" si="83"/>
        <v>922.46905344000129</v>
      </c>
      <c r="S139" s="121">
        <f t="shared" si="83"/>
        <v>1231.4961863424019</v>
      </c>
      <c r="T139" s="121">
        <f t="shared" si="83"/>
        <v>1540.5233192448025</v>
      </c>
      <c r="U139" s="121">
        <f t="shared" si="83"/>
        <v>1840.3257616128024</v>
      </c>
      <c r="V139" s="121">
        <f t="shared" si="83"/>
        <v>2130.9035134464025</v>
      </c>
      <c r="W139" s="121">
        <f t="shared" si="83"/>
        <v>2347.6837410048024</v>
      </c>
      <c r="X139" s="121">
        <f t="shared" si="83"/>
        <v>2656.7108739072032</v>
      </c>
      <c r="Y139" s="121">
        <f t="shared" si="83"/>
        <v>2993.4120784128036</v>
      </c>
      <c r="Z139" s="121">
        <f t="shared" si="83"/>
        <v>3307.0515565824044</v>
      </c>
      <c r="AA139" s="121">
        <f t="shared" si="83"/>
        <v>3523.8317841408043</v>
      </c>
    </row>
    <row r="140" spans="1:27" x14ac:dyDescent="0.2">
      <c r="B140" s="179">
        <f>SUM(B137:B139)</f>
        <v>1446.5991974400022</v>
      </c>
      <c r="C140" s="179">
        <f t="shared" ref="C140:N140" si="84">SUM(C137:C139)</f>
        <v>1404.6687859200028</v>
      </c>
      <c r="D140" s="179">
        <f t="shared" si="84"/>
        <v>1341.7731686400004</v>
      </c>
      <c r="E140" s="179">
        <f t="shared" si="84"/>
        <v>1404.6687859200028</v>
      </c>
      <c r="F140" s="179">
        <f t="shared" si="84"/>
        <v>1404.6687859200028</v>
      </c>
      <c r="G140" s="179">
        <f t="shared" si="84"/>
        <v>1362.7383743999999</v>
      </c>
      <c r="H140" s="179">
        <f t="shared" si="84"/>
        <v>1320.8079628800006</v>
      </c>
      <c r="I140" s="179">
        <f t="shared" si="84"/>
        <v>985.3646707200005</v>
      </c>
      <c r="J140" s="179">
        <f t="shared" si="84"/>
        <v>1404.6687859200028</v>
      </c>
      <c r="K140" s="179">
        <f t="shared" si="84"/>
        <v>1530.4600204800008</v>
      </c>
      <c r="L140" s="179">
        <f t="shared" si="84"/>
        <v>1425.6339916800025</v>
      </c>
      <c r="M140" s="179">
        <f t="shared" si="84"/>
        <v>985.3646707200005</v>
      </c>
      <c r="N140" s="179">
        <f t="shared" si="84"/>
        <v>16017.41720064002</v>
      </c>
      <c r="P140" s="243">
        <f>SUM(P137:P139)</f>
        <v>1446.5991974400022</v>
      </c>
      <c r="Q140" s="243">
        <f>SUM(Q137:Q139)</f>
        <v>2851.2679833600055</v>
      </c>
      <c r="R140" s="243">
        <f t="shared" ref="R140:AA140" si="85">SUM(R137:R139)</f>
        <v>4193.0411520000062</v>
      </c>
      <c r="S140" s="243">
        <f t="shared" si="85"/>
        <v>5597.7099379200081</v>
      </c>
      <c r="T140" s="243">
        <f t="shared" si="85"/>
        <v>7002.3787238400109</v>
      </c>
      <c r="U140" s="243">
        <f t="shared" si="85"/>
        <v>8365.1170982400108</v>
      </c>
      <c r="V140" s="243">
        <f t="shared" si="85"/>
        <v>9685.9250611200114</v>
      </c>
      <c r="W140" s="243">
        <f t="shared" si="85"/>
        <v>10671.289731840012</v>
      </c>
      <c r="X140" s="243">
        <f t="shared" si="85"/>
        <v>12075.958517760015</v>
      </c>
      <c r="Y140" s="243">
        <f t="shared" si="85"/>
        <v>13606.418538240017</v>
      </c>
      <c r="Z140" s="243">
        <f t="shared" si="85"/>
        <v>15032.05252992002</v>
      </c>
      <c r="AA140" s="243">
        <f t="shared" si="85"/>
        <v>16017.41720064002</v>
      </c>
    </row>
    <row r="142" spans="1:27" x14ac:dyDescent="0.2">
      <c r="B142" s="6">
        <f>B19/B132*1000</f>
        <v>523.18085438522053</v>
      </c>
      <c r="C142" s="6">
        <f t="shared" ref="C142:N142" si="86">C19/C132*1000</f>
        <v>523.18085438522053</v>
      </c>
      <c r="D142" s="6">
        <f t="shared" si="86"/>
        <v>523.18085438522053</v>
      </c>
      <c r="E142" s="6">
        <f t="shared" si="86"/>
        <v>540.91525870001362</v>
      </c>
      <c r="F142" s="6">
        <f t="shared" si="86"/>
        <v>537.40517726759856</v>
      </c>
      <c r="G142" s="6">
        <f t="shared" si="86"/>
        <v>535.52477650023297</v>
      </c>
      <c r="H142" s="6">
        <f t="shared" si="86"/>
        <v>533.21910786377521</v>
      </c>
      <c r="I142" s="6">
        <f t="shared" si="86"/>
        <v>531.55361004125166</v>
      </c>
      <c r="J142" s="6">
        <f t="shared" si="86"/>
        <v>529.92392937620184</v>
      </c>
      <c r="K142" s="6">
        <f t="shared" si="86"/>
        <v>526.61151171733763</v>
      </c>
      <c r="L142" s="6">
        <f t="shared" si="86"/>
        <v>525.23255115460324</v>
      </c>
      <c r="M142" s="6">
        <f t="shared" si="86"/>
        <v>523.88940774934213</v>
      </c>
      <c r="N142" s="6">
        <f t="shared" si="86"/>
        <v>529.5219022160328</v>
      </c>
    </row>
  </sheetData>
  <mergeCells count="25">
    <mergeCell ref="G64:G65"/>
    <mergeCell ref="B64:B65"/>
    <mergeCell ref="C64:C65"/>
    <mergeCell ref="D64:D65"/>
    <mergeCell ref="E64:E65"/>
    <mergeCell ref="F64:F65"/>
    <mergeCell ref="T64:T65"/>
    <mergeCell ref="H64:H65"/>
    <mergeCell ref="I64:I65"/>
    <mergeCell ref="J64:J65"/>
    <mergeCell ref="K64:K65"/>
    <mergeCell ref="L64:L65"/>
    <mergeCell ref="M64:M65"/>
    <mergeCell ref="N64:N65"/>
    <mergeCell ref="P64:P65"/>
    <mergeCell ref="Q64:Q65"/>
    <mergeCell ref="R64:R65"/>
    <mergeCell ref="S64:S65"/>
    <mergeCell ref="AA64:AA65"/>
    <mergeCell ref="U64:U65"/>
    <mergeCell ref="V64:V65"/>
    <mergeCell ref="W64:W65"/>
    <mergeCell ref="X64:X65"/>
    <mergeCell ref="Y64:Y65"/>
    <mergeCell ref="Z64:Z65"/>
  </mergeCells>
  <pageMargins left="0.7" right="0.7" top="0.75" bottom="0.75" header="0.3" footer="0.3"/>
  <pageSetup scale="2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02FD6-5A74-4784-B835-674188EA86D6}">
  <dimension ref="A2:E9"/>
  <sheetViews>
    <sheetView zoomScale="115" zoomScaleNormal="115" workbookViewId="0">
      <selection activeCell="B3" sqref="B3:E9"/>
    </sheetView>
  </sheetViews>
  <sheetFormatPr defaultRowHeight="12.75" x14ac:dyDescent="0.2"/>
  <cols>
    <col min="1" max="1" width="28.625" style="10" customWidth="1"/>
    <col min="2" max="5" width="9" style="323"/>
    <col min="6" max="16384" width="9" style="10"/>
  </cols>
  <sheetData>
    <row r="2" spans="1:5" x14ac:dyDescent="0.2">
      <c r="A2" s="324"/>
      <c r="B2" s="325">
        <v>2021</v>
      </c>
      <c r="C2" s="325">
        <v>2022</v>
      </c>
      <c r="D2" s="325">
        <v>2023</v>
      </c>
      <c r="E2" s="325">
        <v>2024</v>
      </c>
    </row>
    <row r="3" spans="1:5" x14ac:dyDescent="0.2">
      <c r="A3" s="324" t="s">
        <v>1068</v>
      </c>
      <c r="B3" s="351">
        <v>100</v>
      </c>
      <c r="C3" s="351">
        <v>140.54705357980458</v>
      </c>
      <c r="D3" s="351">
        <v>111.67299093517124</v>
      </c>
      <c r="E3" s="351">
        <v>108.37599486413224</v>
      </c>
    </row>
    <row r="4" spans="1:5" x14ac:dyDescent="0.2">
      <c r="A4" s="324"/>
      <c r="B4" s="351"/>
      <c r="C4" s="351"/>
      <c r="D4" s="351"/>
      <c r="E4" s="351"/>
    </row>
    <row r="5" spans="1:5" x14ac:dyDescent="0.2">
      <c r="A5" s="324" t="s">
        <v>1069</v>
      </c>
      <c r="B5" s="351"/>
      <c r="C5" s="351"/>
      <c r="D5" s="351"/>
      <c r="E5" s="351"/>
    </row>
    <row r="6" spans="1:5" x14ac:dyDescent="0.2">
      <c r="A6" s="324" t="s">
        <v>1073</v>
      </c>
      <c r="B6" s="351">
        <v>100</v>
      </c>
      <c r="C6" s="351">
        <v>139.89453293155404</v>
      </c>
      <c r="D6" s="351">
        <v>105.55137035442675</v>
      </c>
      <c r="E6" s="351">
        <v>100.05380972879898</v>
      </c>
    </row>
    <row r="7" spans="1:5" x14ac:dyDescent="0.2">
      <c r="A7" s="324" t="s">
        <v>1070</v>
      </c>
      <c r="B7" s="351">
        <v>100</v>
      </c>
      <c r="C7" s="351">
        <v>166.79610989756767</v>
      </c>
      <c r="D7" s="351">
        <v>158.18489421062816</v>
      </c>
      <c r="E7" s="351">
        <v>160.07868103609289</v>
      </c>
    </row>
    <row r="8" spans="1:5" x14ac:dyDescent="0.2">
      <c r="A8" s="324" t="s">
        <v>1071</v>
      </c>
      <c r="B8" s="351">
        <v>100</v>
      </c>
      <c r="C8" s="351">
        <v>120.02002002002001</v>
      </c>
      <c r="D8" s="351">
        <v>128.22822822822823</v>
      </c>
      <c r="E8" s="351">
        <v>168.01801801801801</v>
      </c>
    </row>
    <row r="9" spans="1:5" x14ac:dyDescent="0.2">
      <c r="A9" s="324" t="s">
        <v>1072</v>
      </c>
      <c r="B9" s="351">
        <v>100</v>
      </c>
      <c r="C9" s="351">
        <v>33.253588516746412</v>
      </c>
      <c r="D9" s="351">
        <v>126.19617224880383</v>
      </c>
      <c r="E9" s="351">
        <v>127.15311004784689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61"/>
  <sheetViews>
    <sheetView workbookViewId="0"/>
  </sheetViews>
  <sheetFormatPr defaultColWidth="9" defaultRowHeight="12.75" x14ac:dyDescent="0.2"/>
  <cols>
    <col min="1" max="1" width="22.875" style="37" customWidth="1"/>
    <col min="2" max="2" width="3.125" style="37" customWidth="1"/>
    <col min="3" max="14" width="11.625" style="41" customWidth="1"/>
    <col min="15" max="15" width="11.625" style="37" customWidth="1"/>
    <col min="16" max="16384" width="9" style="37"/>
  </cols>
  <sheetData>
    <row r="1" spans="1:15" ht="15.75" x14ac:dyDescent="0.2">
      <c r="A1" s="65" t="s">
        <v>0</v>
      </c>
      <c r="B1" s="55"/>
    </row>
    <row r="2" spans="1:15" ht="15.75" x14ac:dyDescent="0.25">
      <c r="A2" s="66" t="s">
        <v>153</v>
      </c>
      <c r="B2" s="56"/>
    </row>
    <row r="4" spans="1:15" s="50" customFormat="1" x14ac:dyDescent="0.2">
      <c r="C4" s="53" t="s">
        <v>1</v>
      </c>
      <c r="D4" s="53" t="s">
        <v>2</v>
      </c>
      <c r="E4" s="53" t="s">
        <v>3</v>
      </c>
      <c r="F4" s="53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5" s="52" customFormat="1" x14ac:dyDescent="0.2">
      <c r="A5" s="52" t="s">
        <v>91</v>
      </c>
      <c r="C5" s="58"/>
      <c r="D5" s="58">
        <f t="shared" ref="D5:N5" si="0">C54</f>
        <v>0</v>
      </c>
      <c r="E5" s="58">
        <f t="shared" si="0"/>
        <v>0</v>
      </c>
      <c r="F5" s="58">
        <f t="shared" si="0"/>
        <v>0</v>
      </c>
      <c r="G5" s="58">
        <f t="shared" si="0"/>
        <v>0</v>
      </c>
      <c r="H5" s="58">
        <f t="shared" si="0"/>
        <v>0</v>
      </c>
      <c r="I5" s="58">
        <f t="shared" si="0"/>
        <v>0</v>
      </c>
      <c r="J5" s="58">
        <f t="shared" si="0"/>
        <v>0</v>
      </c>
      <c r="K5" s="58">
        <f t="shared" si="0"/>
        <v>0</v>
      </c>
      <c r="L5" s="58">
        <f t="shared" si="0"/>
        <v>0</v>
      </c>
      <c r="M5" s="58">
        <f t="shared" si="0"/>
        <v>0</v>
      </c>
      <c r="N5" s="58">
        <f t="shared" si="0"/>
        <v>0</v>
      </c>
      <c r="O5" s="58">
        <f>C5</f>
        <v>0</v>
      </c>
    </row>
    <row r="6" spans="1:15" x14ac:dyDescent="0.2">
      <c r="O6" s="41"/>
    </row>
    <row r="7" spans="1:15" x14ac:dyDescent="0.2">
      <c r="A7" s="50" t="s">
        <v>83</v>
      </c>
      <c r="B7" s="50"/>
      <c r="O7" s="41"/>
    </row>
    <row r="8" spans="1:15" x14ac:dyDescent="0.2">
      <c r="A8" s="51" t="s">
        <v>78</v>
      </c>
      <c r="B8" s="5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>
        <f>SUM(C8:N8)</f>
        <v>0</v>
      </c>
    </row>
    <row r="9" spans="1:15" x14ac:dyDescent="0.2">
      <c r="A9" s="37" t="s">
        <v>79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>
        <f>SUM(C9:N9)</f>
        <v>0</v>
      </c>
    </row>
    <row r="10" spans="1:15" x14ac:dyDescent="0.2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5" x14ac:dyDescent="0.2">
      <c r="A11" s="37" t="s">
        <v>80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>
        <f>SUM(C11:N11)</f>
        <v>0</v>
      </c>
    </row>
    <row r="12" spans="1:15" x14ac:dyDescent="0.2">
      <c r="A12" s="37" t="s">
        <v>81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>
        <f>SUM(C12:N12)</f>
        <v>0</v>
      </c>
    </row>
    <row r="13" spans="1:15" x14ac:dyDescent="0.2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5" x14ac:dyDescent="0.2">
      <c r="A14" s="50" t="s">
        <v>113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5" x14ac:dyDescent="0.2">
      <c r="A15" s="25" t="s">
        <v>73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>
        <f>SUM(C15:N15)</f>
        <v>0</v>
      </c>
    </row>
    <row r="16" spans="1:15" x14ac:dyDescent="0.2">
      <c r="A16" s="25" t="s">
        <v>74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>
        <f>SUM(C16:N16)</f>
        <v>0</v>
      </c>
    </row>
    <row r="17" spans="1:15" x14ac:dyDescent="0.2"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17.25" customHeight="1" x14ac:dyDescent="0.2">
      <c r="A18" s="59" t="s">
        <v>90</v>
      </c>
      <c r="B18" s="52"/>
      <c r="C18" s="57">
        <f>SUM(C8:C17)</f>
        <v>0</v>
      </c>
      <c r="D18" s="57">
        <f>SUM(D8:D17)</f>
        <v>0</v>
      </c>
      <c r="E18" s="57">
        <f>SUM(E8:E17)</f>
        <v>0</v>
      </c>
      <c r="F18" s="57">
        <f>SUM(F8:F17)</f>
        <v>0</v>
      </c>
      <c r="G18" s="57">
        <f>SUM(G8:G17)</f>
        <v>0</v>
      </c>
      <c r="H18" s="57">
        <f t="shared" ref="H18:O18" si="1">SUM(H8:H17)</f>
        <v>0</v>
      </c>
      <c r="I18" s="57">
        <f t="shared" si="1"/>
        <v>0</v>
      </c>
      <c r="J18" s="57">
        <f t="shared" si="1"/>
        <v>0</v>
      </c>
      <c r="K18" s="57">
        <f t="shared" si="1"/>
        <v>0</v>
      </c>
      <c r="L18" s="57">
        <f t="shared" si="1"/>
        <v>0</v>
      </c>
      <c r="M18" s="57">
        <f t="shared" si="1"/>
        <v>0</v>
      </c>
      <c r="N18" s="57">
        <f t="shared" si="1"/>
        <v>0</v>
      </c>
      <c r="O18" s="57">
        <f t="shared" si="1"/>
        <v>0</v>
      </c>
    </row>
    <row r="19" spans="1:15" x14ac:dyDescent="0.2">
      <c r="O19" s="41"/>
    </row>
    <row r="20" spans="1:15" x14ac:dyDescent="0.2">
      <c r="A20" s="50" t="s">
        <v>84</v>
      </c>
      <c r="B20" s="50"/>
      <c r="O20" s="41"/>
    </row>
    <row r="21" spans="1:15" x14ac:dyDescent="0.2">
      <c r="A21" s="50"/>
      <c r="B21" s="50"/>
      <c r="O21" s="41"/>
    </row>
    <row r="22" spans="1:15" x14ac:dyDescent="0.2">
      <c r="A22" s="50" t="s">
        <v>82</v>
      </c>
      <c r="B22" s="50"/>
      <c r="O22" s="41"/>
    </row>
    <row r="23" spans="1:15" x14ac:dyDescent="0.2">
      <c r="A23" s="37" t="s">
        <v>87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>
        <f t="shared" ref="O23:O32" si="2">SUM(C23:N23)</f>
        <v>0</v>
      </c>
    </row>
    <row r="24" spans="1:15" x14ac:dyDescent="0.2">
      <c r="A24" s="37" t="s">
        <v>88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>
        <f t="shared" si="2"/>
        <v>0</v>
      </c>
    </row>
    <row r="25" spans="1:15" x14ac:dyDescent="0.2">
      <c r="A25" s="37" t="s">
        <v>126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>
        <f t="shared" si="2"/>
        <v>0</v>
      </c>
    </row>
    <row r="26" spans="1:15" x14ac:dyDescent="0.2">
      <c r="A26" s="37" t="s">
        <v>127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>
        <f t="shared" si="2"/>
        <v>0</v>
      </c>
    </row>
    <row r="27" spans="1:15" x14ac:dyDescent="0.2">
      <c r="A27" s="37" t="s">
        <v>139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>
        <f t="shared" si="2"/>
        <v>0</v>
      </c>
    </row>
    <row r="28" spans="1:15" x14ac:dyDescent="0.2">
      <c r="A28" s="37" t="s">
        <v>146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>
        <f t="shared" si="2"/>
        <v>0</v>
      </c>
    </row>
    <row r="29" spans="1:15" x14ac:dyDescent="0.2">
      <c r="A29" s="37" t="s">
        <v>147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>
        <f t="shared" si="2"/>
        <v>0</v>
      </c>
    </row>
    <row r="30" spans="1:15" x14ac:dyDescent="0.2">
      <c r="O30" s="41"/>
    </row>
    <row r="31" spans="1:15" x14ac:dyDescent="0.2">
      <c r="A31" s="37" t="s">
        <v>85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>
        <f t="shared" si="2"/>
        <v>0</v>
      </c>
    </row>
    <row r="32" spans="1:15" x14ac:dyDescent="0.2">
      <c r="A32" s="37" t="s">
        <v>86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>
        <f t="shared" si="2"/>
        <v>0</v>
      </c>
    </row>
    <row r="33" spans="1:15" s="52" customFormat="1" x14ac:dyDescent="0.2">
      <c r="C33" s="58">
        <f>SUM(C23:C32)</f>
        <v>0</v>
      </c>
      <c r="D33" s="58">
        <f t="shared" ref="D33:N33" si="3">SUM(D23:D32)</f>
        <v>0</v>
      </c>
      <c r="E33" s="58">
        <f t="shared" si="3"/>
        <v>0</v>
      </c>
      <c r="F33" s="58">
        <f t="shared" si="3"/>
        <v>0</v>
      </c>
      <c r="G33" s="58">
        <f t="shared" si="3"/>
        <v>0</v>
      </c>
      <c r="H33" s="58">
        <f t="shared" si="3"/>
        <v>0</v>
      </c>
      <c r="I33" s="58">
        <f t="shared" si="3"/>
        <v>0</v>
      </c>
      <c r="J33" s="58">
        <f t="shared" si="3"/>
        <v>0</v>
      </c>
      <c r="K33" s="58">
        <f t="shared" si="3"/>
        <v>0</v>
      </c>
      <c r="L33" s="58">
        <f t="shared" si="3"/>
        <v>0</v>
      </c>
      <c r="M33" s="58">
        <f t="shared" si="3"/>
        <v>0</v>
      </c>
      <c r="N33" s="58">
        <f t="shared" si="3"/>
        <v>0</v>
      </c>
      <c r="O33" s="58">
        <f>SUM(O23:O32)</f>
        <v>0</v>
      </c>
    </row>
    <row r="34" spans="1:15" x14ac:dyDescent="0.2">
      <c r="O34" s="41"/>
    </row>
    <row r="35" spans="1:15" s="52" customFormat="1" x14ac:dyDescent="0.2">
      <c r="A35" s="52" t="s">
        <v>93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1">
        <f>SUM(C35:N35)</f>
        <v>0</v>
      </c>
    </row>
    <row r="36" spans="1:15" x14ac:dyDescent="0.2">
      <c r="O36" s="41"/>
    </row>
    <row r="37" spans="1:15" x14ac:dyDescent="0.2">
      <c r="A37" s="50" t="s">
        <v>68</v>
      </c>
      <c r="B37" s="50"/>
      <c r="O37" s="41"/>
    </row>
    <row r="38" spans="1:15" x14ac:dyDescent="0.2">
      <c r="A38" s="37" t="s">
        <v>69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>
        <f>SUM(C38:N38)</f>
        <v>0</v>
      </c>
    </row>
    <row r="39" spans="1:15" x14ac:dyDescent="0.2">
      <c r="A39" s="37" t="s">
        <v>89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>
        <f>SUM(C39:N39)</f>
        <v>0</v>
      </c>
    </row>
    <row r="40" spans="1:15" x14ac:dyDescent="0.2">
      <c r="A40" s="37" t="s">
        <v>70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>
        <f>SUM(C40:N40)</f>
        <v>0</v>
      </c>
    </row>
    <row r="41" spans="1:15" s="52" customFormat="1" x14ac:dyDescent="0.2">
      <c r="C41" s="58">
        <f>SUM(C38:C40)</f>
        <v>0</v>
      </c>
      <c r="D41" s="58">
        <f t="shared" ref="D41:N41" si="4">SUM(D38:D40)</f>
        <v>0</v>
      </c>
      <c r="E41" s="58">
        <f t="shared" si="4"/>
        <v>0</v>
      </c>
      <c r="F41" s="58">
        <f t="shared" si="4"/>
        <v>0</v>
      </c>
      <c r="G41" s="58">
        <f t="shared" si="4"/>
        <v>0</v>
      </c>
      <c r="H41" s="58">
        <f t="shared" si="4"/>
        <v>0</v>
      </c>
      <c r="I41" s="58">
        <f t="shared" si="4"/>
        <v>0</v>
      </c>
      <c r="J41" s="58">
        <f t="shared" si="4"/>
        <v>0</v>
      </c>
      <c r="K41" s="58">
        <f t="shared" si="4"/>
        <v>0</v>
      </c>
      <c r="L41" s="58">
        <f t="shared" si="4"/>
        <v>0</v>
      </c>
      <c r="M41" s="58">
        <f t="shared" si="4"/>
        <v>0</v>
      </c>
      <c r="N41" s="58">
        <f t="shared" si="4"/>
        <v>0</v>
      </c>
      <c r="O41" s="58">
        <f>SUM(O38:O40)</f>
        <v>0</v>
      </c>
    </row>
    <row r="42" spans="1:15" x14ac:dyDescent="0.2">
      <c r="A42" s="50" t="s">
        <v>77</v>
      </c>
      <c r="B42" s="50"/>
      <c r="O42" s="41"/>
    </row>
    <row r="43" spans="1:15" x14ac:dyDescent="0.2">
      <c r="A43" s="37" t="s">
        <v>94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>
        <f>SUM(C43:N43)</f>
        <v>0</v>
      </c>
    </row>
    <row r="44" spans="1:15" x14ac:dyDescent="0.2">
      <c r="A44" s="37" t="s">
        <v>130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>
        <f>SUM(C44:N44)</f>
        <v>0</v>
      </c>
    </row>
    <row r="45" spans="1:15" x14ac:dyDescent="0.2">
      <c r="A45" s="25" t="s">
        <v>73</v>
      </c>
      <c r="B45" s="25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>
        <f>SUM(C45:N45)</f>
        <v>0</v>
      </c>
    </row>
    <row r="46" spans="1:15" x14ac:dyDescent="0.2">
      <c r="A46" s="25" t="s">
        <v>74</v>
      </c>
      <c r="B46" s="25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>
        <f>SUM(C46:N46)</f>
        <v>0</v>
      </c>
    </row>
    <row r="47" spans="1:15" s="52" customFormat="1" x14ac:dyDescent="0.2">
      <c r="C47" s="58">
        <f>SUM(C43:C46)</f>
        <v>0</v>
      </c>
      <c r="D47" s="58">
        <f t="shared" ref="D47:N47" si="5">SUM(D43:D46)</f>
        <v>0</v>
      </c>
      <c r="E47" s="58">
        <f t="shared" si="5"/>
        <v>0</v>
      </c>
      <c r="F47" s="58">
        <f t="shared" si="5"/>
        <v>0</v>
      </c>
      <c r="G47" s="58">
        <f t="shared" si="5"/>
        <v>0</v>
      </c>
      <c r="H47" s="58">
        <f t="shared" si="5"/>
        <v>0</v>
      </c>
      <c r="I47" s="58">
        <f t="shared" si="5"/>
        <v>0</v>
      </c>
      <c r="J47" s="58">
        <f t="shared" si="5"/>
        <v>0</v>
      </c>
      <c r="K47" s="58">
        <f t="shared" si="5"/>
        <v>0</v>
      </c>
      <c r="L47" s="58">
        <f t="shared" si="5"/>
        <v>0</v>
      </c>
      <c r="M47" s="58">
        <f t="shared" si="5"/>
        <v>0</v>
      </c>
      <c r="N47" s="58">
        <f t="shared" si="5"/>
        <v>0</v>
      </c>
      <c r="O47" s="58">
        <f>SUM(O43:O46)</f>
        <v>0</v>
      </c>
    </row>
    <row r="48" spans="1:15" s="52" customFormat="1" x14ac:dyDescent="0.2">
      <c r="A48" s="50" t="s">
        <v>111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</row>
    <row r="49" spans="1:15" s="52" customFormat="1" x14ac:dyDescent="0.2">
      <c r="A49" s="25" t="s">
        <v>73</v>
      </c>
      <c r="C49" s="61">
        <v>0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f>SUM(C49:N49)</f>
        <v>0</v>
      </c>
    </row>
    <row r="50" spans="1:15" s="52" customFormat="1" x14ac:dyDescent="0.2">
      <c r="A50" s="25" t="s">
        <v>74</v>
      </c>
      <c r="C50" s="61">
        <v>0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f>SUM(C50:N50)</f>
        <v>0</v>
      </c>
    </row>
    <row r="51" spans="1:15" x14ac:dyDescent="0.2">
      <c r="O51" s="41"/>
    </row>
    <row r="52" spans="1:15" ht="17.25" customHeight="1" x14ac:dyDescent="0.2">
      <c r="A52" s="59" t="s">
        <v>95</v>
      </c>
      <c r="B52" s="52"/>
      <c r="C52" s="57">
        <f>+C33+C35+C41+C47+C49+C50</f>
        <v>0</v>
      </c>
      <c r="D52" s="57">
        <f t="shared" ref="D52:N52" si="6">+D33+D35+D41+D47+D49+D50</f>
        <v>0</v>
      </c>
      <c r="E52" s="57">
        <f t="shared" si="6"/>
        <v>0</v>
      </c>
      <c r="F52" s="57">
        <f t="shared" si="6"/>
        <v>0</v>
      </c>
      <c r="G52" s="57">
        <f t="shared" si="6"/>
        <v>0</v>
      </c>
      <c r="H52" s="57">
        <f t="shared" si="6"/>
        <v>0</v>
      </c>
      <c r="I52" s="57">
        <f t="shared" si="6"/>
        <v>0</v>
      </c>
      <c r="J52" s="57">
        <f>+J33+J35+J41+J47+J49+J50</f>
        <v>0</v>
      </c>
      <c r="K52" s="57">
        <f t="shared" si="6"/>
        <v>0</v>
      </c>
      <c r="L52" s="57">
        <f t="shared" si="6"/>
        <v>0</v>
      </c>
      <c r="M52" s="57">
        <f t="shared" si="6"/>
        <v>0</v>
      </c>
      <c r="N52" s="57">
        <f t="shared" si="6"/>
        <v>0</v>
      </c>
      <c r="O52" s="57">
        <f>+O33+O35+O41+O47+O49+O50</f>
        <v>0</v>
      </c>
    </row>
    <row r="53" spans="1:15" x14ac:dyDescent="0.2">
      <c r="O53" s="41"/>
    </row>
    <row r="54" spans="1:15" s="52" customFormat="1" ht="19.5" customHeight="1" x14ac:dyDescent="0.2">
      <c r="A54" s="59" t="s">
        <v>92</v>
      </c>
      <c r="C54" s="57">
        <f t="shared" ref="C54:H54" si="7">+C5+C18-C52</f>
        <v>0</v>
      </c>
      <c r="D54" s="57">
        <f t="shared" si="7"/>
        <v>0</v>
      </c>
      <c r="E54" s="57">
        <f t="shared" si="7"/>
        <v>0</v>
      </c>
      <c r="F54" s="57">
        <f t="shared" si="7"/>
        <v>0</v>
      </c>
      <c r="G54" s="57">
        <f t="shared" si="7"/>
        <v>0</v>
      </c>
      <c r="H54" s="57">
        <f t="shared" si="7"/>
        <v>0</v>
      </c>
      <c r="I54" s="57">
        <f>+I5+I18-I52</f>
        <v>0</v>
      </c>
      <c r="J54" s="57">
        <f t="shared" ref="J54:O54" si="8">+J5+J18-J52</f>
        <v>0</v>
      </c>
      <c r="K54" s="57">
        <f t="shared" si="8"/>
        <v>0</v>
      </c>
      <c r="L54" s="57">
        <f t="shared" si="8"/>
        <v>0</v>
      </c>
      <c r="M54" s="57">
        <f t="shared" si="8"/>
        <v>0</v>
      </c>
      <c r="N54" s="57">
        <f t="shared" si="8"/>
        <v>0</v>
      </c>
      <c r="O54" s="57">
        <f t="shared" si="8"/>
        <v>0</v>
      </c>
    </row>
    <row r="55" spans="1:15" s="52" customFormat="1" ht="19.5" customHeight="1" x14ac:dyDescent="0.2"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1:15" x14ac:dyDescent="0.2">
      <c r="C56" s="41" t="e">
        <f>+C54-#REF!</f>
        <v>#REF!</v>
      </c>
      <c r="D56" s="41" t="e">
        <f>+D54-#REF!</f>
        <v>#REF!</v>
      </c>
      <c r="E56" s="41" t="e">
        <f>+E54-#REF!</f>
        <v>#REF!</v>
      </c>
      <c r="F56" s="41" t="e">
        <f>+F54-#REF!</f>
        <v>#REF!</v>
      </c>
      <c r="G56" s="41" t="e">
        <f>+G54-#REF!</f>
        <v>#REF!</v>
      </c>
      <c r="H56" s="41" t="e">
        <f>+H54-#REF!</f>
        <v>#REF!</v>
      </c>
      <c r="I56" s="41" t="e">
        <f>+I54-#REF!</f>
        <v>#REF!</v>
      </c>
      <c r="J56" s="41" t="e">
        <f>+J54-#REF!</f>
        <v>#REF!</v>
      </c>
      <c r="K56" s="41" t="e">
        <f>+K54-#REF!</f>
        <v>#REF!</v>
      </c>
      <c r="L56" s="41" t="e">
        <f>+L54-#REF!</f>
        <v>#REF!</v>
      </c>
      <c r="M56" s="41" t="e">
        <f>+M54-#REF!</f>
        <v>#REF!</v>
      </c>
      <c r="N56" s="41" t="e">
        <f>+N54-#REF!</f>
        <v>#REF!</v>
      </c>
      <c r="O56" s="41"/>
    </row>
    <row r="57" spans="1:15" x14ac:dyDescent="0.2">
      <c r="C57" s="60"/>
      <c r="O57" s="41"/>
    </row>
    <row r="58" spans="1:15" x14ac:dyDescent="0.2">
      <c r="O58" s="41"/>
    </row>
    <row r="59" spans="1:15" x14ac:dyDescent="0.2">
      <c r="A59" s="37" t="s">
        <v>143</v>
      </c>
      <c r="B59" s="41"/>
      <c r="C59" s="41">
        <f t="shared" ref="C59:J59" si="9">C18-C52</f>
        <v>0</v>
      </c>
      <c r="D59" s="41">
        <f>D18-D52</f>
        <v>0</v>
      </c>
      <c r="E59" s="41">
        <f t="shared" si="9"/>
        <v>0</v>
      </c>
      <c r="F59" s="41">
        <f t="shared" si="9"/>
        <v>0</v>
      </c>
      <c r="G59" s="41">
        <f t="shared" si="9"/>
        <v>0</v>
      </c>
      <c r="H59" s="41">
        <f t="shared" si="9"/>
        <v>0</v>
      </c>
      <c r="I59" s="41">
        <f t="shared" si="9"/>
        <v>0</v>
      </c>
      <c r="J59" s="41">
        <f t="shared" si="9"/>
        <v>0</v>
      </c>
      <c r="K59" s="41">
        <f>K18-K52</f>
        <v>0</v>
      </c>
      <c r="L59" s="41">
        <f>L18-L52</f>
        <v>0</v>
      </c>
      <c r="M59" s="41">
        <f>M18-M52</f>
        <v>0</v>
      </c>
      <c r="N59" s="41">
        <f>N18-N52</f>
        <v>0</v>
      </c>
      <c r="O59" s="41"/>
    </row>
    <row r="60" spans="1:15" x14ac:dyDescent="0.2">
      <c r="A60" s="37" t="s">
        <v>144</v>
      </c>
      <c r="B60" s="41"/>
      <c r="C60" s="41">
        <v>1054</v>
      </c>
      <c r="D60" s="41">
        <v>-4981</v>
      </c>
    </row>
    <row r="61" spans="1:15" x14ac:dyDescent="0.2">
      <c r="A61" s="37" t="s">
        <v>145</v>
      </c>
      <c r="B61" s="41"/>
      <c r="C61" s="41">
        <f t="shared" ref="C61:J61" si="10">C59-C60</f>
        <v>-1054</v>
      </c>
      <c r="D61" s="41">
        <f t="shared" si="10"/>
        <v>4981</v>
      </c>
      <c r="E61" s="41">
        <f t="shared" si="10"/>
        <v>0</v>
      </c>
      <c r="F61" s="41">
        <f t="shared" si="10"/>
        <v>0</v>
      </c>
      <c r="G61" s="41">
        <f t="shared" si="10"/>
        <v>0</v>
      </c>
      <c r="H61" s="41">
        <f t="shared" si="10"/>
        <v>0</v>
      </c>
      <c r="I61" s="41">
        <f t="shared" si="10"/>
        <v>0</v>
      </c>
      <c r="J61" s="41">
        <f t="shared" si="10"/>
        <v>0</v>
      </c>
      <c r="K61" s="41">
        <f>K59-K60</f>
        <v>0</v>
      </c>
      <c r="L61" s="41">
        <f>L59-L60</f>
        <v>0</v>
      </c>
      <c r="M61" s="41">
        <f>M59-M60</f>
        <v>0</v>
      </c>
      <c r="N61" s="41">
        <f>N59-N60</f>
        <v>0</v>
      </c>
    </row>
  </sheetData>
  <pageMargins left="0.47244094488188981" right="0.47244094488188981" top="0.47244094488188981" bottom="0.47244094488188981" header="0.47244094488188981" footer="0.47244094488188981"/>
  <pageSetup paperSize="9" scale="67" orientation="landscape" r:id="rId1"/>
  <headerFooter>
    <oddFooter>&amp;C&amp;"Arial,Regular"&amp;A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37"/>
  <sheetViews>
    <sheetView workbookViewId="0"/>
  </sheetViews>
  <sheetFormatPr defaultRowHeight="15" x14ac:dyDescent="0.3"/>
  <cols>
    <col min="1" max="1" width="13.5" bestFit="1" customWidth="1"/>
    <col min="3" max="3" width="10.875" bestFit="1" customWidth="1"/>
  </cols>
  <sheetData>
    <row r="2" spans="1:14" ht="16.5" x14ac:dyDescent="0.35">
      <c r="A2" s="86" t="s">
        <v>131</v>
      </c>
      <c r="B2" t="s">
        <v>114</v>
      </c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  <c r="I2" t="s">
        <v>121</v>
      </c>
      <c r="J2" t="s">
        <v>122</v>
      </c>
      <c r="K2" t="s">
        <v>123</v>
      </c>
      <c r="L2" t="s">
        <v>124</v>
      </c>
      <c r="M2" t="s">
        <v>125</v>
      </c>
      <c r="N2" s="83" t="s">
        <v>54</v>
      </c>
    </row>
    <row r="3" spans="1:14" ht="16.5" x14ac:dyDescent="0.35">
      <c r="A3" s="83" t="s">
        <v>135</v>
      </c>
      <c r="B3" s="85" t="e">
        <f>#REF!</f>
        <v>#REF!</v>
      </c>
      <c r="C3" s="85" t="e">
        <f>#REF!</f>
        <v>#REF!</v>
      </c>
      <c r="D3" s="85" t="e">
        <f>#REF!</f>
        <v>#REF!</v>
      </c>
      <c r="E3" s="85" t="e">
        <f>#REF!</f>
        <v>#REF!</v>
      </c>
      <c r="F3" s="85" t="e">
        <f>#REF!</f>
        <v>#REF!</v>
      </c>
      <c r="G3" s="85" t="e">
        <f>#REF!</f>
        <v>#REF!</v>
      </c>
      <c r="H3" s="85" t="e">
        <f>#REF!</f>
        <v>#REF!</v>
      </c>
      <c r="I3" s="85" t="e">
        <f>#REF!</f>
        <v>#REF!</v>
      </c>
      <c r="J3" s="85" t="e">
        <f>#REF!</f>
        <v>#REF!</v>
      </c>
      <c r="K3" s="85" t="e">
        <f>#REF!</f>
        <v>#REF!</v>
      </c>
      <c r="L3" s="85" t="e">
        <f>#REF!</f>
        <v>#REF!</v>
      </c>
      <c r="M3" s="85" t="e">
        <f>#REF!</f>
        <v>#REF!</v>
      </c>
      <c r="N3" s="84" t="e">
        <f>SUM(B3:M3)</f>
        <v>#REF!</v>
      </c>
    </row>
    <row r="4" spans="1:14" ht="16.5" x14ac:dyDescent="0.35">
      <c r="A4" s="83" t="s">
        <v>136</v>
      </c>
      <c r="B4" s="85">
        <f>'Budget 2024'!B16</f>
        <v>14486.991553170594</v>
      </c>
      <c r="C4" s="85">
        <f>'Budget 2024'!C16</f>
        <v>14407.277799098638</v>
      </c>
      <c r="D4" s="85">
        <f>'Budget 2024'!D16</f>
        <v>13961.922901447215</v>
      </c>
      <c r="E4" s="85">
        <f>'Budget 2024'!E16</f>
        <v>14635.768401877052</v>
      </c>
      <c r="F4" s="85">
        <f>'Budget 2024'!F16</f>
        <v>14358.452869863948</v>
      </c>
      <c r="G4" s="85">
        <f>'Budget 2024'!G16</f>
        <v>13841.33538847964</v>
      </c>
      <c r="H4" s="85">
        <f>'Budget 2024'!H16</f>
        <v>13195.956322187461</v>
      </c>
      <c r="I4" s="85">
        <f>'Budget 2024'!I16</f>
        <v>9873.6216551123998</v>
      </c>
      <c r="J4" s="85">
        <f>'Budget 2024'!J16</f>
        <v>14296.818148766435</v>
      </c>
      <c r="K4" s="85">
        <f>'Budget 2024'!K16</f>
        <v>15759.357347705143</v>
      </c>
      <c r="L4" s="85">
        <f>'Budget 2024'!L16</f>
        <v>14320.333801631019</v>
      </c>
      <c r="M4" s="85">
        <f>'Budget 2024'!M16</f>
        <v>9660.7030865327233</v>
      </c>
      <c r="N4" s="84">
        <f ca="1">SUM(B4:OFFSET(A4,0,'Input TB'!$B$7))</f>
        <v>162798.53927587226</v>
      </c>
    </row>
    <row r="5" spans="1:14" ht="16.5" x14ac:dyDescent="0.35">
      <c r="A5" s="83" t="s">
        <v>137</v>
      </c>
      <c r="B5" s="85">
        <v>17816.460950000001</v>
      </c>
      <c r="C5" s="85">
        <v>16641.102209999997</v>
      </c>
      <c r="D5" s="85">
        <v>18800.2268</v>
      </c>
      <c r="E5" s="85">
        <v>14802.924230000001</v>
      </c>
      <c r="F5" s="85">
        <v>16395.275379999999</v>
      </c>
      <c r="G5" s="85">
        <v>16804.062569999998</v>
      </c>
      <c r="H5" s="85">
        <v>12720.194800000001</v>
      </c>
      <c r="I5" s="85">
        <v>8705.1821799999998</v>
      </c>
      <c r="J5" s="85">
        <v>12671.19412</v>
      </c>
      <c r="K5" s="85">
        <v>10916.570810000001</v>
      </c>
      <c r="L5" s="85">
        <v>11128.94045</v>
      </c>
      <c r="M5" s="85">
        <v>5686.7912400000005</v>
      </c>
      <c r="N5" s="84">
        <f ca="1">SUM(B5:OFFSET(A5,0,'Input TB'!$B$7))</f>
        <v>163088.92573999998</v>
      </c>
    </row>
    <row r="6" spans="1:14" ht="16.5" x14ac:dyDescent="0.3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4"/>
    </row>
    <row r="7" spans="1:14" ht="16.5" x14ac:dyDescent="0.35">
      <c r="A7" s="86" t="s">
        <v>132</v>
      </c>
      <c r="B7" t="s">
        <v>114</v>
      </c>
      <c r="C7" t="s">
        <v>115</v>
      </c>
      <c r="D7" t="s">
        <v>116</v>
      </c>
      <c r="E7" t="s">
        <v>117</v>
      </c>
      <c r="F7" t="s">
        <v>118</v>
      </c>
      <c r="G7" t="s">
        <v>119</v>
      </c>
      <c r="H7" t="s">
        <v>120</v>
      </c>
      <c r="I7" t="s">
        <v>121</v>
      </c>
      <c r="J7" t="s">
        <v>122</v>
      </c>
      <c r="K7" t="s">
        <v>123</v>
      </c>
      <c r="L7" t="s">
        <v>124</v>
      </c>
      <c r="M7" t="s">
        <v>125</v>
      </c>
      <c r="N7" s="83" t="s">
        <v>54</v>
      </c>
    </row>
    <row r="8" spans="1:14" ht="16.5" x14ac:dyDescent="0.35">
      <c r="A8" s="83" t="s">
        <v>135</v>
      </c>
      <c r="B8" s="85" t="e">
        <f>#REF!</f>
        <v>#REF!</v>
      </c>
      <c r="C8" s="85" t="e">
        <f>#REF!</f>
        <v>#REF!</v>
      </c>
      <c r="D8" s="85" t="e">
        <f>#REF!</f>
        <v>#REF!</v>
      </c>
      <c r="E8" s="85" t="e">
        <f>#REF!</f>
        <v>#REF!</v>
      </c>
      <c r="F8" s="85" t="e">
        <f>#REF!</f>
        <v>#REF!</v>
      </c>
      <c r="G8" s="85" t="e">
        <f>#REF!</f>
        <v>#REF!</v>
      </c>
      <c r="H8" s="85" t="e">
        <f>#REF!</f>
        <v>#REF!</v>
      </c>
      <c r="I8" s="85" t="e">
        <f>#REF!</f>
        <v>#REF!</v>
      </c>
      <c r="J8" s="85" t="e">
        <f>#REF!</f>
        <v>#REF!</v>
      </c>
      <c r="K8" s="85" t="e">
        <f>#REF!</f>
        <v>#REF!</v>
      </c>
      <c r="L8" s="85" t="e">
        <f>#REF!</f>
        <v>#REF!</v>
      </c>
      <c r="M8" s="85" t="e">
        <f>#REF!</f>
        <v>#REF!</v>
      </c>
      <c r="N8" s="84" t="e">
        <f t="shared" ref="N8:N23" si="0">SUM(B8:M8)</f>
        <v>#REF!</v>
      </c>
    </row>
    <row r="9" spans="1:14" ht="16.5" x14ac:dyDescent="0.35">
      <c r="A9" s="83" t="s">
        <v>136</v>
      </c>
      <c r="B9" s="85">
        <f>'Budget 2024'!B33</f>
        <v>2552.4011484515777</v>
      </c>
      <c r="C9" s="85">
        <f>'Budget 2024'!C33</f>
        <v>2922.2233413989616</v>
      </c>
      <c r="D9" s="85">
        <f>'Budget 2024'!D33</f>
        <v>2903.7766680687928</v>
      </c>
      <c r="E9" s="85">
        <f>'Budget 2024'!E33</f>
        <v>3065.9116841238356</v>
      </c>
      <c r="F9" s="85">
        <f>'Budget 2024'!F33</f>
        <v>2604.9341353602904</v>
      </c>
      <c r="G9" s="85">
        <f>'Budget 2024'!G33</f>
        <v>2520.9088210667906</v>
      </c>
      <c r="H9" s="85">
        <f>'Budget 2024'!H33</f>
        <v>2198.6886719042486</v>
      </c>
      <c r="I9" s="85">
        <f>'Budget 2024'!I33</f>
        <v>725.58313267161429</v>
      </c>
      <c r="J9" s="85">
        <f>'Budget 2024'!J33</f>
        <v>2697.4738478328472</v>
      </c>
      <c r="K9" s="85">
        <f>'Budget 2024'!K33</f>
        <v>3188.450503733593</v>
      </c>
      <c r="L9" s="85">
        <f>'Budget 2024'!L33</f>
        <v>2564.2718120483223</v>
      </c>
      <c r="M9" s="85">
        <f>'Budget 2024'!M33</f>
        <v>1280.3596313855051</v>
      </c>
      <c r="N9" s="84">
        <f ca="1">SUM(B9:OFFSET(A9,0,'Input TB'!$B$7))</f>
        <v>29224.983398046381</v>
      </c>
    </row>
    <row r="10" spans="1:14" ht="16.5" x14ac:dyDescent="0.35">
      <c r="A10" s="83" t="s">
        <v>137</v>
      </c>
      <c r="B10" s="85">
        <v>2038.5870600000017</v>
      </c>
      <c r="C10" s="85">
        <v>2328.3165899999985</v>
      </c>
      <c r="D10" s="85">
        <v>3537.0547100000003</v>
      </c>
      <c r="E10" s="85">
        <v>3117.2003399999994</v>
      </c>
      <c r="F10" s="85">
        <v>3115.0201799999995</v>
      </c>
      <c r="G10" s="85">
        <v>2407.9832599999972</v>
      </c>
      <c r="H10" s="85">
        <v>760.07765999999901</v>
      </c>
      <c r="I10" s="85">
        <v>-355.26054999999906</v>
      </c>
      <c r="J10" s="85">
        <v>1398.4859099999994</v>
      </c>
      <c r="K10" s="85">
        <v>826.04087000000072</v>
      </c>
      <c r="L10" s="85">
        <v>1082.3454500000007</v>
      </c>
      <c r="M10" s="85">
        <v>28.082370000000083</v>
      </c>
      <c r="N10" s="84">
        <f ca="1">SUM(B10:OFFSET(A10,0,'Input TB'!$B$7))</f>
        <v>20283.933849999998</v>
      </c>
    </row>
    <row r="11" spans="1:14" ht="16.5" x14ac:dyDescent="0.35"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4"/>
    </row>
    <row r="12" spans="1:14" ht="16.5" x14ac:dyDescent="0.35">
      <c r="A12" s="86" t="s">
        <v>134</v>
      </c>
      <c r="B12" t="s">
        <v>114</v>
      </c>
      <c r="C12" t="s">
        <v>115</v>
      </c>
      <c r="D12" t="s">
        <v>116</v>
      </c>
      <c r="E12" t="s">
        <v>117</v>
      </c>
      <c r="F12" t="s">
        <v>118</v>
      </c>
      <c r="G12" t="s">
        <v>119</v>
      </c>
      <c r="H12" t="s">
        <v>120</v>
      </c>
      <c r="I12" t="s">
        <v>121</v>
      </c>
      <c r="J12" t="s">
        <v>122</v>
      </c>
      <c r="K12" t="s">
        <v>123</v>
      </c>
      <c r="L12" t="s">
        <v>124</v>
      </c>
      <c r="M12" t="s">
        <v>125</v>
      </c>
      <c r="N12" s="83" t="s">
        <v>54</v>
      </c>
    </row>
    <row r="13" spans="1:14" ht="16.5" x14ac:dyDescent="0.35">
      <c r="A13" s="83" t="s">
        <v>135</v>
      </c>
      <c r="B13" s="85" t="e">
        <f>#REF!</f>
        <v>#REF!</v>
      </c>
      <c r="C13" s="85" t="e">
        <f>#REF!</f>
        <v>#REF!</v>
      </c>
      <c r="D13" s="85" t="e">
        <f>#REF!</f>
        <v>#REF!</v>
      </c>
      <c r="E13" s="85" t="e">
        <f>#REF!</f>
        <v>#REF!</v>
      </c>
      <c r="F13" s="85" t="e">
        <f>#REF!</f>
        <v>#REF!</v>
      </c>
      <c r="G13" s="85" t="e">
        <f>#REF!</f>
        <v>#REF!</v>
      </c>
      <c r="H13" s="85" t="e">
        <f>#REF!</f>
        <v>#REF!</v>
      </c>
      <c r="I13" s="85" t="e">
        <f>#REF!</f>
        <v>#REF!</v>
      </c>
      <c r="J13" s="85" t="e">
        <f>#REF!</f>
        <v>#REF!</v>
      </c>
      <c r="K13" s="85" t="e">
        <f>#REF!</f>
        <v>#REF!</v>
      </c>
      <c r="L13" s="85" t="e">
        <f>#REF!</f>
        <v>#REF!</v>
      </c>
      <c r="M13" s="85" t="e">
        <f>#REF!</f>
        <v>#REF!</v>
      </c>
      <c r="N13" s="84" t="e">
        <f t="shared" si="0"/>
        <v>#REF!</v>
      </c>
    </row>
    <row r="14" spans="1:14" ht="16.5" x14ac:dyDescent="0.35">
      <c r="A14" s="83" t="s">
        <v>136</v>
      </c>
      <c r="B14" s="85">
        <f>'Budget 2024'!B49</f>
        <v>1441.9610963440655</v>
      </c>
      <c r="C14" s="85">
        <f>'Budget 2024'!C49</f>
        <v>1831.628563840454</v>
      </c>
      <c r="D14" s="85">
        <f>'Budget 2024'!D49</f>
        <v>1840.8887521804365</v>
      </c>
      <c r="E14" s="85">
        <f>'Budget 2024'!E49</f>
        <v>1972.7944860721914</v>
      </c>
      <c r="F14" s="85">
        <f>'Budget 2024'!F49</f>
        <v>1511.409993290157</v>
      </c>
      <c r="G14" s="85">
        <f>'Budget 2024'!G49</f>
        <v>1446.2125337567259</v>
      </c>
      <c r="H14" s="85">
        <f>'Budget 2024'!H49</f>
        <v>1154.4974087399635</v>
      </c>
      <c r="I14" s="85">
        <f>'Budget 2024'!I49</f>
        <v>-158.53277642885877</v>
      </c>
      <c r="J14" s="85">
        <f>'Budget 2024'!J49</f>
        <v>1612.3428596889134</v>
      </c>
      <c r="K14" s="85">
        <f>'Budget 2024'!K49</f>
        <v>2032.484602039548</v>
      </c>
      <c r="L14" s="85">
        <f>'Budget 2024'!L49</f>
        <v>1472.1332172222592</v>
      </c>
      <c r="M14" s="85">
        <f>'Budget 2024'!M49</f>
        <v>384.12530782151919</v>
      </c>
      <c r="N14" s="84">
        <f ca="1">SUM(B14:OFFSET(A14,0,'Input TB'!$B$7))</f>
        <v>16541.946044567376</v>
      </c>
    </row>
    <row r="15" spans="1:14" ht="16.5" x14ac:dyDescent="0.35">
      <c r="A15" s="83" t="s">
        <v>137</v>
      </c>
      <c r="B15" s="85">
        <v>607.37005000000158</v>
      </c>
      <c r="C15" s="85">
        <v>1086.0317599999983</v>
      </c>
      <c r="D15" s="85">
        <v>2348.99017</v>
      </c>
      <c r="E15" s="85">
        <v>2221.8684099999996</v>
      </c>
      <c r="F15" s="85">
        <v>1462.484449999999</v>
      </c>
      <c r="G15" s="85">
        <v>1315.9325899999976</v>
      </c>
      <c r="H15" s="85">
        <v>-512.74786000000108</v>
      </c>
      <c r="I15" s="85">
        <v>-1030.0392899999993</v>
      </c>
      <c r="J15" s="85">
        <v>586.96654999999942</v>
      </c>
      <c r="K15" s="85">
        <v>143.98359000000056</v>
      </c>
      <c r="L15" s="85">
        <v>228.10271000000068</v>
      </c>
      <c r="M15" s="85">
        <v>-803.05411000000015</v>
      </c>
      <c r="N15" s="84">
        <f ca="1">SUM(B15:OFFSET(A15,0,'Input TB'!$B$7))</f>
        <v>7655.889019999996</v>
      </c>
    </row>
    <row r="17" spans="1:14" ht="16.5" x14ac:dyDescent="0.35">
      <c r="A17" s="86" t="s">
        <v>46</v>
      </c>
      <c r="B17" t="s">
        <v>114</v>
      </c>
      <c r="C17" t="s">
        <v>115</v>
      </c>
      <c r="D17" t="s">
        <v>116</v>
      </c>
      <c r="E17" t="s">
        <v>117</v>
      </c>
      <c r="F17" t="s">
        <v>118</v>
      </c>
      <c r="G17" t="s">
        <v>119</v>
      </c>
      <c r="H17" t="s">
        <v>120</v>
      </c>
      <c r="I17" t="s">
        <v>121</v>
      </c>
      <c r="J17" t="s">
        <v>122</v>
      </c>
      <c r="K17" t="s">
        <v>123</v>
      </c>
      <c r="L17" t="s">
        <v>124</v>
      </c>
      <c r="M17" t="s">
        <v>125</v>
      </c>
      <c r="N17" s="83" t="s">
        <v>54</v>
      </c>
    </row>
    <row r="18" spans="1:14" ht="16.5" x14ac:dyDescent="0.35">
      <c r="A18" s="83" t="s">
        <v>135</v>
      </c>
      <c r="B18" s="85" t="e">
        <f>#REF!</f>
        <v>#REF!</v>
      </c>
      <c r="C18" s="85" t="e">
        <f>#REF!</f>
        <v>#REF!</v>
      </c>
      <c r="D18" s="85" t="e">
        <f>#REF!</f>
        <v>#REF!</v>
      </c>
      <c r="E18" s="85" t="e">
        <f>#REF!</f>
        <v>#REF!</v>
      </c>
      <c r="F18" s="85" t="e">
        <f>#REF!</f>
        <v>#REF!</v>
      </c>
      <c r="G18" s="85" t="e">
        <f>#REF!</f>
        <v>#REF!</v>
      </c>
      <c r="H18" s="85" t="e">
        <f>#REF!</f>
        <v>#REF!</v>
      </c>
      <c r="I18" s="85" t="e">
        <f>#REF!</f>
        <v>#REF!</v>
      </c>
      <c r="J18" s="85" t="e">
        <f>#REF!</f>
        <v>#REF!</v>
      </c>
      <c r="K18" s="85" t="e">
        <f>#REF!</f>
        <v>#REF!</v>
      </c>
      <c r="L18" s="85" t="e">
        <f>#REF!</f>
        <v>#REF!</v>
      </c>
      <c r="M18" s="85" t="e">
        <f>#REF!</f>
        <v>#REF!</v>
      </c>
      <c r="N18" s="84" t="e">
        <f t="shared" si="0"/>
        <v>#REF!</v>
      </c>
    </row>
    <row r="19" spans="1:14" ht="16.5" x14ac:dyDescent="0.35">
      <c r="A19" s="83" t="s">
        <v>136</v>
      </c>
      <c r="B19" s="85">
        <f>'Budget 2024'!B51</f>
        <v>1560.7272533440655</v>
      </c>
      <c r="C19" s="85">
        <f>'Budget 2024'!C51</f>
        <v>1950.3947208404541</v>
      </c>
      <c r="D19" s="85">
        <f>'Budget 2024'!D51</f>
        <v>1959.6549091804366</v>
      </c>
      <c r="E19" s="85">
        <f>'Budget 2024'!E51</f>
        <v>2091.5606430721914</v>
      </c>
      <c r="F19" s="85">
        <f>'Budget 2024'!F51</f>
        <v>1630.176150290157</v>
      </c>
      <c r="G19" s="85">
        <f>'Budget 2024'!G51</f>
        <v>1567.3203574233926</v>
      </c>
      <c r="H19" s="85">
        <f>'Budget 2024'!H51</f>
        <v>1276.6052324066302</v>
      </c>
      <c r="I19" s="85">
        <f>'Budget 2024'!I51</f>
        <v>-36.424952762192149</v>
      </c>
      <c r="J19" s="85">
        <f>'Budget 2024'!J51</f>
        <v>1741.0278183418059</v>
      </c>
      <c r="K19" s="85">
        <f>'Budget 2024'!K51</f>
        <v>2161.1695606924404</v>
      </c>
      <c r="L19" s="85">
        <f>'Budget 2024'!L51</f>
        <v>1606.5873766640323</v>
      </c>
      <c r="M19" s="85">
        <f>'Budget 2024'!M51</f>
        <v>519.57946726329226</v>
      </c>
      <c r="N19" s="84">
        <f ca="1">SUM(B19:OFFSET(A19,0,'Input TB'!$B$7))</f>
        <v>18028.378536756703</v>
      </c>
    </row>
    <row r="20" spans="1:14" ht="16.5" x14ac:dyDescent="0.35">
      <c r="A20" s="83" t="s">
        <v>137</v>
      </c>
      <c r="B20" s="85">
        <v>724.84949000000154</v>
      </c>
      <c r="C20" s="85">
        <v>1203.5038999999983</v>
      </c>
      <c r="D20" s="85">
        <v>2465.0814799999998</v>
      </c>
      <c r="E20" s="85">
        <v>2335.9970399999997</v>
      </c>
      <c r="F20" s="85">
        <v>1577.460139999999</v>
      </c>
      <c r="G20" s="85">
        <v>1430.4179599999975</v>
      </c>
      <c r="H20" s="85">
        <v>-398.27511000000106</v>
      </c>
      <c r="I20" s="85">
        <v>-916.95308999999929</v>
      </c>
      <c r="J20" s="85">
        <v>699.73412999999937</v>
      </c>
      <c r="K20" s="85">
        <v>251.36460000000056</v>
      </c>
      <c r="L20" s="85">
        <v>347.33112000000068</v>
      </c>
      <c r="M20" s="85">
        <v>-641.30131000000017</v>
      </c>
      <c r="N20" s="84">
        <f ca="1">SUM(B20:OFFSET(A20,0,'Input TB'!$B$7))</f>
        <v>9079.2103499999957</v>
      </c>
    </row>
    <row r="21" spans="1:14" ht="16.5" x14ac:dyDescent="0.35"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4"/>
    </row>
    <row r="22" spans="1:14" ht="16.5" x14ac:dyDescent="0.35">
      <c r="A22" s="86" t="s">
        <v>133</v>
      </c>
      <c r="B22" t="s">
        <v>114</v>
      </c>
      <c r="C22" t="s">
        <v>115</v>
      </c>
      <c r="D22" t="s">
        <v>116</v>
      </c>
      <c r="E22" t="s">
        <v>117</v>
      </c>
      <c r="F22" t="s">
        <v>118</v>
      </c>
      <c r="G22" t="s">
        <v>119</v>
      </c>
      <c r="H22" t="s">
        <v>120</v>
      </c>
      <c r="I22" t="s">
        <v>121</v>
      </c>
      <c r="J22" t="s">
        <v>122</v>
      </c>
      <c r="K22" t="s">
        <v>123</v>
      </c>
      <c r="L22" t="s">
        <v>124</v>
      </c>
      <c r="M22" t="s">
        <v>125</v>
      </c>
      <c r="N22" s="83" t="s">
        <v>54</v>
      </c>
    </row>
    <row r="23" spans="1:14" ht="16.5" x14ac:dyDescent="0.35">
      <c r="A23" s="83" t="s">
        <v>135</v>
      </c>
      <c r="B23" s="85" t="e">
        <f>#REF!</f>
        <v>#REF!</v>
      </c>
      <c r="C23" s="85" t="e">
        <f>#REF!</f>
        <v>#REF!</v>
      </c>
      <c r="D23" s="85" t="e">
        <f>#REF!</f>
        <v>#REF!</v>
      </c>
      <c r="E23" s="85" t="e">
        <f>#REF!</f>
        <v>#REF!</v>
      </c>
      <c r="F23" s="85" t="e">
        <f>#REF!</f>
        <v>#REF!</v>
      </c>
      <c r="G23" s="85" t="e">
        <f>#REF!</f>
        <v>#REF!</v>
      </c>
      <c r="H23" s="85" t="e">
        <f>#REF!</f>
        <v>#REF!</v>
      </c>
      <c r="I23" s="85" t="e">
        <f>#REF!</f>
        <v>#REF!</v>
      </c>
      <c r="J23" s="85" t="e">
        <f>#REF!</f>
        <v>#REF!</v>
      </c>
      <c r="K23" s="85" t="e">
        <f>#REF!</f>
        <v>#REF!</v>
      </c>
      <c r="L23" s="85" t="e">
        <f>#REF!</f>
        <v>#REF!</v>
      </c>
      <c r="M23" s="85" t="e">
        <f>#REF!</f>
        <v>#REF!</v>
      </c>
      <c r="N23" s="84" t="e">
        <f t="shared" si="0"/>
        <v>#REF!</v>
      </c>
    </row>
    <row r="24" spans="1:14" ht="16.5" x14ac:dyDescent="0.35">
      <c r="A24" s="83" t="s">
        <v>136</v>
      </c>
      <c r="B24" s="85">
        <f>'Budget 2024'!B59</f>
        <v>916.77421963173674</v>
      </c>
      <c r="C24" s="85">
        <f>'Budget 2024'!C59</f>
        <v>1224.4984816486733</v>
      </c>
      <c r="D24" s="85">
        <f>'Budget 2024'!D59</f>
        <v>1215.7018754681078</v>
      </c>
      <c r="E24" s="85">
        <f>'Budget 2024'!E59</f>
        <v>1319.6265408667118</v>
      </c>
      <c r="F24" s="85">
        <f>'Budget 2024'!F59</f>
        <v>968.22311657782825</v>
      </c>
      <c r="G24" s="85">
        <f>'Budget 2024'!G59</f>
        <v>925.04458855124631</v>
      </c>
      <c r="H24" s="85">
        <f>'Budget 2024'!H59</f>
        <v>700.31053202763474</v>
      </c>
      <c r="I24" s="85">
        <f>'Budget 2024'!I59</f>
        <v>-283.71965314118756</v>
      </c>
      <c r="J24" s="85">
        <f>'Budget 2024'!J59</f>
        <v>1049.1749144834339</v>
      </c>
      <c r="K24" s="85">
        <f>'Budget 2024'!K59</f>
        <v>1359.2977253272193</v>
      </c>
      <c r="L24" s="85">
        <f>'Budget 2024'!L59</f>
        <v>943.96527201677964</v>
      </c>
      <c r="M24" s="85">
        <f>'Budget 2024'!M59</f>
        <v>122.93843110919039</v>
      </c>
      <c r="N24" s="84">
        <f ca="1">SUM(B24:OFFSET(A24,0,'Input TB'!$B$7))</f>
        <v>10461.836044567375</v>
      </c>
    </row>
    <row r="25" spans="1:14" ht="16.5" x14ac:dyDescent="0.35">
      <c r="A25" s="83" t="s">
        <v>137</v>
      </c>
      <c r="B25" s="85">
        <v>502.39669000000157</v>
      </c>
      <c r="C25" s="85">
        <v>976.85382999999831</v>
      </c>
      <c r="D25" s="85">
        <v>2180.5514600000001</v>
      </c>
      <c r="E25" s="85">
        <v>2074.3246399999998</v>
      </c>
      <c r="F25" s="85">
        <v>1319.833319999999</v>
      </c>
      <c r="G25" s="85">
        <v>1125.0861199999977</v>
      </c>
      <c r="H25" s="85">
        <v>-634.06114000000105</v>
      </c>
      <c r="I25" s="85">
        <v>-1192.5557099999992</v>
      </c>
      <c r="J25" s="85">
        <v>458.7810599999994</v>
      </c>
      <c r="K25" s="85">
        <v>22.273450000000558</v>
      </c>
      <c r="L25" s="85">
        <v>38.348810000000668</v>
      </c>
      <c r="M25" s="85">
        <v>-2378.8230700000004</v>
      </c>
      <c r="N25" s="84">
        <f ca="1">SUM(B25:OFFSET(A25,0,'Input TB'!$B$7))</f>
        <v>4493.0094599999966</v>
      </c>
    </row>
    <row r="26" spans="1:14" x14ac:dyDescent="0.3"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</row>
    <row r="28" spans="1:14" x14ac:dyDescent="0.3">
      <c r="A28" t="s">
        <v>54</v>
      </c>
      <c r="B28" t="s">
        <v>135</v>
      </c>
      <c r="C28" t="s">
        <v>136</v>
      </c>
      <c r="D28" t="s">
        <v>137</v>
      </c>
    </row>
    <row r="29" spans="1:14" x14ac:dyDescent="0.3">
      <c r="A29" t="s">
        <v>132</v>
      </c>
      <c r="B29" s="82" t="e">
        <f>N8</f>
        <v>#REF!</v>
      </c>
      <c r="C29" s="82">
        <f ca="1">N9</f>
        <v>29224.983398046381</v>
      </c>
      <c r="D29" s="82">
        <f ca="1">N10</f>
        <v>20283.933849999998</v>
      </c>
    </row>
    <row r="30" spans="1:14" x14ac:dyDescent="0.3">
      <c r="A30" t="s">
        <v>134</v>
      </c>
      <c r="B30" s="82" t="e">
        <f>N13</f>
        <v>#REF!</v>
      </c>
      <c r="C30" s="82">
        <f ca="1">N14</f>
        <v>16541.946044567376</v>
      </c>
      <c r="D30" s="82">
        <f ca="1">N15</f>
        <v>7655.889019999996</v>
      </c>
    </row>
    <row r="31" spans="1:14" x14ac:dyDescent="0.3">
      <c r="A31" t="s">
        <v>46</v>
      </c>
      <c r="B31" s="82" t="e">
        <f>N18</f>
        <v>#REF!</v>
      </c>
      <c r="C31" s="82">
        <f ca="1">N19</f>
        <v>18028.378536756703</v>
      </c>
      <c r="D31" s="82">
        <f ca="1">N20</f>
        <v>9079.2103499999957</v>
      </c>
    </row>
    <row r="32" spans="1:14" x14ac:dyDescent="0.3">
      <c r="A32" t="s">
        <v>133</v>
      </c>
      <c r="B32" s="82" t="e">
        <f>N23</f>
        <v>#REF!</v>
      </c>
      <c r="C32" s="82">
        <f ca="1">N24</f>
        <v>10461.836044567375</v>
      </c>
      <c r="D32" s="82">
        <f ca="1">N25</f>
        <v>4493.0094599999966</v>
      </c>
    </row>
    <row r="34" spans="1:14" ht="16.5" x14ac:dyDescent="0.35">
      <c r="A34" s="86" t="s">
        <v>142</v>
      </c>
      <c r="B34" t="s">
        <v>114</v>
      </c>
      <c r="C34" t="s">
        <v>115</v>
      </c>
      <c r="D34" t="s">
        <v>116</v>
      </c>
      <c r="E34" t="s">
        <v>117</v>
      </c>
      <c r="F34" t="s">
        <v>118</v>
      </c>
      <c r="G34" t="s">
        <v>119</v>
      </c>
      <c r="H34" t="s">
        <v>120</v>
      </c>
      <c r="I34" t="s">
        <v>121</v>
      </c>
      <c r="J34" t="s">
        <v>122</v>
      </c>
      <c r="K34" t="s">
        <v>123</v>
      </c>
      <c r="L34" t="s">
        <v>124</v>
      </c>
      <c r="M34" t="s">
        <v>125</v>
      </c>
      <c r="N34" s="83" t="s">
        <v>54</v>
      </c>
    </row>
    <row r="35" spans="1:14" ht="16.5" x14ac:dyDescent="0.35">
      <c r="A35" s="83" t="s">
        <v>135</v>
      </c>
      <c r="B35" s="87" t="e">
        <f>B8/B3</f>
        <v>#REF!</v>
      </c>
      <c r="C35" s="87" t="e">
        <f t="shared" ref="C35:N35" si="1">C8/C3</f>
        <v>#REF!</v>
      </c>
      <c r="D35" s="87" t="e">
        <f t="shared" si="1"/>
        <v>#REF!</v>
      </c>
      <c r="E35" s="87" t="e">
        <f t="shared" si="1"/>
        <v>#REF!</v>
      </c>
      <c r="F35" s="87" t="e">
        <f t="shared" si="1"/>
        <v>#REF!</v>
      </c>
      <c r="G35" s="87" t="e">
        <f t="shared" si="1"/>
        <v>#REF!</v>
      </c>
      <c r="H35" s="87" t="e">
        <f t="shared" si="1"/>
        <v>#REF!</v>
      </c>
      <c r="I35" s="87" t="e">
        <f t="shared" si="1"/>
        <v>#REF!</v>
      </c>
      <c r="J35" s="87" t="e">
        <f t="shared" si="1"/>
        <v>#REF!</v>
      </c>
      <c r="K35" s="87" t="e">
        <f t="shared" si="1"/>
        <v>#REF!</v>
      </c>
      <c r="L35" s="87" t="e">
        <f t="shared" si="1"/>
        <v>#REF!</v>
      </c>
      <c r="M35" s="87" t="e">
        <f t="shared" si="1"/>
        <v>#REF!</v>
      </c>
      <c r="N35" s="88" t="e">
        <f t="shared" si="1"/>
        <v>#REF!</v>
      </c>
    </row>
    <row r="36" spans="1:14" ht="16.5" x14ac:dyDescent="0.35">
      <c r="A36" s="83" t="s">
        <v>136</v>
      </c>
      <c r="B36" s="87">
        <f>B9/B4</f>
        <v>0.17618572766358551</v>
      </c>
      <c r="C36" s="87">
        <f t="shared" ref="C36:N37" si="2">C9/C4</f>
        <v>0.20282966582221276</v>
      </c>
      <c r="D36" s="87">
        <f t="shared" si="2"/>
        <v>0.20797827695838397</v>
      </c>
      <c r="E36" s="87">
        <f t="shared" si="2"/>
        <v>0.20948074606937817</v>
      </c>
      <c r="F36" s="87">
        <f t="shared" si="2"/>
        <v>0.18142164472522124</v>
      </c>
      <c r="G36" s="87">
        <f t="shared" si="2"/>
        <v>0.18212901792445421</v>
      </c>
      <c r="H36" s="87">
        <f t="shared" si="2"/>
        <v>0.16661836537056507</v>
      </c>
      <c r="I36" s="87">
        <f t="shared" si="2"/>
        <v>7.3487030191795852E-2</v>
      </c>
      <c r="J36" s="87">
        <f t="shared" si="2"/>
        <v>0.18867651667413787</v>
      </c>
      <c r="K36" s="87">
        <f t="shared" si="2"/>
        <v>0.20232109935611625</v>
      </c>
      <c r="L36" s="87">
        <f t="shared" si="2"/>
        <v>0.17906508658033263</v>
      </c>
      <c r="M36" s="87">
        <f t="shared" si="2"/>
        <v>0.13253275873578604</v>
      </c>
      <c r="N36" s="88">
        <f t="shared" ca="1" si="2"/>
        <v>0.17951625074794331</v>
      </c>
    </row>
    <row r="37" spans="1:14" ht="16.5" x14ac:dyDescent="0.35">
      <c r="A37" s="83" t="s">
        <v>137</v>
      </c>
      <c r="B37" s="87">
        <f>B10/B5</f>
        <v>0.11442154902261897</v>
      </c>
      <c r="C37" s="87">
        <f t="shared" si="2"/>
        <v>0.13991360431647748</v>
      </c>
      <c r="D37" s="87">
        <f t="shared" si="2"/>
        <v>0.1881389383025954</v>
      </c>
      <c r="E37" s="87">
        <f t="shared" si="2"/>
        <v>0.21058003753627261</v>
      </c>
      <c r="F37" s="87">
        <f t="shared" si="2"/>
        <v>0.18999498988592162</v>
      </c>
      <c r="G37" s="87">
        <f t="shared" si="2"/>
        <v>0.14329768470982296</v>
      </c>
      <c r="H37" s="87">
        <f t="shared" si="2"/>
        <v>5.9753617924153089E-2</v>
      </c>
      <c r="I37" s="87">
        <f t="shared" si="2"/>
        <v>-4.0810237241927436E-2</v>
      </c>
      <c r="J37" s="87">
        <f t="shared" si="2"/>
        <v>0.11036733371424345</v>
      </c>
      <c r="K37" s="87">
        <f t="shared" si="2"/>
        <v>7.5668530381657523E-2</v>
      </c>
      <c r="L37" s="87">
        <f t="shared" si="2"/>
        <v>9.7255031138206938E-2</v>
      </c>
      <c r="M37" s="87">
        <f>M10/M5</f>
        <v>4.9381749416917368E-3</v>
      </c>
      <c r="N37" s="88">
        <f t="shared" ca="1" si="2"/>
        <v>0.12437345919082882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16"/>
  <sheetViews>
    <sheetView workbookViewId="0"/>
  </sheetViews>
  <sheetFormatPr defaultRowHeight="15" x14ac:dyDescent="0.3"/>
  <sheetData>
    <row r="2" spans="1:13" x14ac:dyDescent="0.3">
      <c r="B2">
        <v>31</v>
      </c>
      <c r="C2">
        <v>28</v>
      </c>
      <c r="D2">
        <v>31</v>
      </c>
      <c r="E2">
        <v>30</v>
      </c>
      <c r="F2">
        <v>31</v>
      </c>
      <c r="G2">
        <v>30</v>
      </c>
      <c r="H2">
        <v>31</v>
      </c>
      <c r="I2">
        <v>31</v>
      </c>
      <c r="J2">
        <v>30</v>
      </c>
      <c r="K2">
        <v>31</v>
      </c>
      <c r="L2">
        <v>30</v>
      </c>
      <c r="M2">
        <v>31</v>
      </c>
    </row>
    <row r="4" spans="1:13" x14ac:dyDescent="0.3">
      <c r="B4" s="83" t="s">
        <v>114</v>
      </c>
      <c r="C4" s="83" t="s">
        <v>115</v>
      </c>
      <c r="D4" s="83" t="s">
        <v>116</v>
      </c>
      <c r="E4" s="83" t="s">
        <v>117</v>
      </c>
      <c r="F4" s="83" t="s">
        <v>118</v>
      </c>
      <c r="G4" s="83" t="s">
        <v>119</v>
      </c>
      <c r="H4" s="83" t="s">
        <v>120</v>
      </c>
      <c r="I4" s="83" t="s">
        <v>121</v>
      </c>
      <c r="J4" s="83" t="s">
        <v>122</v>
      </c>
      <c r="K4" s="83" t="s">
        <v>123</v>
      </c>
      <c r="L4" s="83" t="s">
        <v>124</v>
      </c>
      <c r="M4" s="83" t="s">
        <v>125</v>
      </c>
    </row>
    <row r="5" spans="1:13" x14ac:dyDescent="0.3">
      <c r="A5" s="83" t="s">
        <v>460</v>
      </c>
    </row>
    <row r="6" spans="1:13" x14ac:dyDescent="0.3">
      <c r="A6">
        <v>2016</v>
      </c>
    </row>
    <row r="7" spans="1:13" x14ac:dyDescent="0.3">
      <c r="A7">
        <v>2017</v>
      </c>
      <c r="B7" s="185" t="e">
        <f>#REF!/(#REF!+#REF!)*B2</f>
        <v>#REF!</v>
      </c>
      <c r="C7" s="185" t="e">
        <f>#REF!/(#REF!+#REF!)*C2</f>
        <v>#REF!</v>
      </c>
      <c r="D7" s="185" t="e">
        <f>#REF!/(#REF!+#REF!)*D2</f>
        <v>#REF!</v>
      </c>
      <c r="E7" s="185" t="e">
        <f>#REF!/(#REF!+#REF!)*E2</f>
        <v>#REF!</v>
      </c>
      <c r="F7" s="185" t="e">
        <f>#REF!/(#REF!+#REF!)*F2</f>
        <v>#REF!</v>
      </c>
      <c r="G7" s="185" t="e">
        <f>#REF!/(#REF!+#REF!)*G2</f>
        <v>#REF!</v>
      </c>
      <c r="H7" s="185" t="e">
        <f>#REF!/(#REF!+#REF!)*H2</f>
        <v>#REF!</v>
      </c>
      <c r="I7" s="185" t="e">
        <f>#REF!/(#REF!+#REF!)*I2</f>
        <v>#REF!</v>
      </c>
      <c r="J7" s="185" t="e">
        <f>#REF!/(#REF!+#REF!)*J2</f>
        <v>#REF!</v>
      </c>
    </row>
    <row r="14" spans="1:13" x14ac:dyDescent="0.3">
      <c r="A14" s="83" t="s">
        <v>461</v>
      </c>
    </row>
    <row r="15" spans="1:13" x14ac:dyDescent="0.3">
      <c r="A15">
        <v>2016</v>
      </c>
    </row>
    <row r="16" spans="1:13" x14ac:dyDescent="0.3">
      <c r="A16">
        <v>2017</v>
      </c>
      <c r="B16" s="185" t="e">
        <f>#REF!/(#REF!+#REF!)*B2</f>
        <v>#REF!</v>
      </c>
      <c r="C16" s="185" t="e">
        <f>#REF!/(#REF!+#REF!)*C2</f>
        <v>#REF!</v>
      </c>
      <c r="D16" s="185" t="e">
        <f>#REF!/(#REF!+#REF!)*D2</f>
        <v>#REF!</v>
      </c>
      <c r="E16" s="185" t="e">
        <f>#REF!/(#REF!+#REF!)*E2</f>
        <v>#REF!</v>
      </c>
      <c r="F16" s="185" t="e">
        <f>#REF!/(#REF!+#REF!)*F2</f>
        <v>#REF!</v>
      </c>
      <c r="G16" s="185" t="e">
        <f>#REF!/(#REF!+#REF!)*G2</f>
        <v>#REF!</v>
      </c>
      <c r="H16" s="185" t="e">
        <f>#REF!/(#REF!+#REF!)*H2</f>
        <v>#REF!</v>
      </c>
      <c r="I16" s="185" t="e">
        <f>#REF!/(#REF!+#REF!)*I2</f>
        <v>#REF!</v>
      </c>
      <c r="J16" s="185" t="e">
        <f>#REF!/(#REF!+#REF!)*J2</f>
        <v>#REF!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T69"/>
  <sheetViews>
    <sheetView topLeftCell="A38" workbookViewId="0">
      <selection activeCell="D61" sqref="D61:E61"/>
    </sheetView>
  </sheetViews>
  <sheetFormatPr defaultRowHeight="15" x14ac:dyDescent="0.3"/>
  <cols>
    <col min="1" max="1" width="13.125" bestFit="1" customWidth="1"/>
    <col min="2" max="2" width="8.375" customWidth="1"/>
    <col min="3" max="3" width="8.25" customWidth="1"/>
    <col min="4" max="4" width="8.625" customWidth="1"/>
    <col min="5" max="6" width="9.375" customWidth="1"/>
    <col min="7" max="7" width="7.375" bestFit="1" customWidth="1"/>
    <col min="8" max="10" width="9.375" customWidth="1"/>
    <col min="11" max="11" width="8.375" customWidth="1"/>
    <col min="12" max="14" width="9.375" customWidth="1"/>
    <col min="15" max="15" width="6.375" customWidth="1"/>
    <col min="16" max="18" width="9.375" customWidth="1"/>
    <col min="19" max="19" width="1" customWidth="1"/>
    <col min="257" max="257" width="13.125" bestFit="1" customWidth="1"/>
    <col min="258" max="258" width="8.375" customWidth="1"/>
    <col min="259" max="259" width="6.375" customWidth="1"/>
    <col min="260" max="262" width="9.375" customWidth="1"/>
    <col min="263" max="263" width="6.375" customWidth="1"/>
    <col min="264" max="266" width="9.375" customWidth="1"/>
    <col min="267" max="267" width="6.375" customWidth="1"/>
    <col min="268" max="270" width="9.375" customWidth="1"/>
    <col min="271" max="271" width="6.375" customWidth="1"/>
    <col min="272" max="274" width="9.375" customWidth="1"/>
    <col min="513" max="513" width="13.125" bestFit="1" customWidth="1"/>
    <col min="514" max="514" width="8.375" customWidth="1"/>
    <col min="515" max="515" width="6.375" customWidth="1"/>
    <col min="516" max="518" width="9.375" customWidth="1"/>
    <col min="519" max="519" width="6.375" customWidth="1"/>
    <col min="520" max="522" width="9.375" customWidth="1"/>
    <col min="523" max="523" width="6.375" customWidth="1"/>
    <col min="524" max="526" width="9.375" customWidth="1"/>
    <col min="527" max="527" width="6.375" customWidth="1"/>
    <col min="528" max="530" width="9.375" customWidth="1"/>
    <col min="769" max="769" width="13.125" bestFit="1" customWidth="1"/>
    <col min="770" max="770" width="8.375" customWidth="1"/>
    <col min="771" max="771" width="6.375" customWidth="1"/>
    <col min="772" max="774" width="9.375" customWidth="1"/>
    <col min="775" max="775" width="6.375" customWidth="1"/>
    <col min="776" max="778" width="9.375" customWidth="1"/>
    <col min="779" max="779" width="6.375" customWidth="1"/>
    <col min="780" max="782" width="9.375" customWidth="1"/>
    <col min="783" max="783" width="6.375" customWidth="1"/>
    <col min="784" max="786" width="9.375" customWidth="1"/>
    <col min="1025" max="1025" width="13.125" bestFit="1" customWidth="1"/>
    <col min="1026" max="1026" width="8.375" customWidth="1"/>
    <col min="1027" max="1027" width="6.375" customWidth="1"/>
    <col min="1028" max="1030" width="9.375" customWidth="1"/>
    <col min="1031" max="1031" width="6.375" customWidth="1"/>
    <col min="1032" max="1034" width="9.375" customWidth="1"/>
    <col min="1035" max="1035" width="6.375" customWidth="1"/>
    <col min="1036" max="1038" width="9.375" customWidth="1"/>
    <col min="1039" max="1039" width="6.375" customWidth="1"/>
    <col min="1040" max="1042" width="9.375" customWidth="1"/>
    <col min="1281" max="1281" width="13.125" bestFit="1" customWidth="1"/>
    <col min="1282" max="1282" width="8.375" customWidth="1"/>
    <col min="1283" max="1283" width="6.375" customWidth="1"/>
    <col min="1284" max="1286" width="9.375" customWidth="1"/>
    <col min="1287" max="1287" width="6.375" customWidth="1"/>
    <col min="1288" max="1290" width="9.375" customWidth="1"/>
    <col min="1291" max="1291" width="6.375" customWidth="1"/>
    <col min="1292" max="1294" width="9.375" customWidth="1"/>
    <col min="1295" max="1295" width="6.375" customWidth="1"/>
    <col min="1296" max="1298" width="9.375" customWidth="1"/>
    <col min="1537" max="1537" width="13.125" bestFit="1" customWidth="1"/>
    <col min="1538" max="1538" width="8.375" customWidth="1"/>
    <col min="1539" max="1539" width="6.375" customWidth="1"/>
    <col min="1540" max="1542" width="9.375" customWidth="1"/>
    <col min="1543" max="1543" width="6.375" customWidth="1"/>
    <col min="1544" max="1546" width="9.375" customWidth="1"/>
    <col min="1547" max="1547" width="6.375" customWidth="1"/>
    <col min="1548" max="1550" width="9.375" customWidth="1"/>
    <col min="1551" max="1551" width="6.375" customWidth="1"/>
    <col min="1552" max="1554" width="9.375" customWidth="1"/>
    <col min="1793" max="1793" width="13.125" bestFit="1" customWidth="1"/>
    <col min="1794" max="1794" width="8.375" customWidth="1"/>
    <col min="1795" max="1795" width="6.375" customWidth="1"/>
    <col min="1796" max="1798" width="9.375" customWidth="1"/>
    <col min="1799" max="1799" width="6.375" customWidth="1"/>
    <col min="1800" max="1802" width="9.375" customWidth="1"/>
    <col min="1803" max="1803" width="6.375" customWidth="1"/>
    <col min="1804" max="1806" width="9.375" customWidth="1"/>
    <col min="1807" max="1807" width="6.375" customWidth="1"/>
    <col min="1808" max="1810" width="9.375" customWidth="1"/>
    <col min="2049" max="2049" width="13.125" bestFit="1" customWidth="1"/>
    <col min="2050" max="2050" width="8.375" customWidth="1"/>
    <col min="2051" max="2051" width="6.375" customWidth="1"/>
    <col min="2052" max="2054" width="9.375" customWidth="1"/>
    <col min="2055" max="2055" width="6.375" customWidth="1"/>
    <col min="2056" max="2058" width="9.375" customWidth="1"/>
    <col min="2059" max="2059" width="6.375" customWidth="1"/>
    <col min="2060" max="2062" width="9.375" customWidth="1"/>
    <col min="2063" max="2063" width="6.375" customWidth="1"/>
    <col min="2064" max="2066" width="9.375" customWidth="1"/>
    <col min="2305" max="2305" width="13.125" bestFit="1" customWidth="1"/>
    <col min="2306" max="2306" width="8.375" customWidth="1"/>
    <col min="2307" max="2307" width="6.375" customWidth="1"/>
    <col min="2308" max="2310" width="9.375" customWidth="1"/>
    <col min="2311" max="2311" width="6.375" customWidth="1"/>
    <col min="2312" max="2314" width="9.375" customWidth="1"/>
    <col min="2315" max="2315" width="6.375" customWidth="1"/>
    <col min="2316" max="2318" width="9.375" customWidth="1"/>
    <col min="2319" max="2319" width="6.375" customWidth="1"/>
    <col min="2320" max="2322" width="9.375" customWidth="1"/>
    <col min="2561" max="2561" width="13.125" bestFit="1" customWidth="1"/>
    <col min="2562" max="2562" width="8.375" customWidth="1"/>
    <col min="2563" max="2563" width="6.375" customWidth="1"/>
    <col min="2564" max="2566" width="9.375" customWidth="1"/>
    <col min="2567" max="2567" width="6.375" customWidth="1"/>
    <col min="2568" max="2570" width="9.375" customWidth="1"/>
    <col min="2571" max="2571" width="6.375" customWidth="1"/>
    <col min="2572" max="2574" width="9.375" customWidth="1"/>
    <col min="2575" max="2575" width="6.375" customWidth="1"/>
    <col min="2576" max="2578" width="9.375" customWidth="1"/>
    <col min="2817" max="2817" width="13.125" bestFit="1" customWidth="1"/>
    <col min="2818" max="2818" width="8.375" customWidth="1"/>
    <col min="2819" max="2819" width="6.375" customWidth="1"/>
    <col min="2820" max="2822" width="9.375" customWidth="1"/>
    <col min="2823" max="2823" width="6.375" customWidth="1"/>
    <col min="2824" max="2826" width="9.375" customWidth="1"/>
    <col min="2827" max="2827" width="6.375" customWidth="1"/>
    <col min="2828" max="2830" width="9.375" customWidth="1"/>
    <col min="2831" max="2831" width="6.375" customWidth="1"/>
    <col min="2832" max="2834" width="9.375" customWidth="1"/>
    <col min="3073" max="3073" width="13.125" bestFit="1" customWidth="1"/>
    <col min="3074" max="3074" width="8.375" customWidth="1"/>
    <col min="3075" max="3075" width="6.375" customWidth="1"/>
    <col min="3076" max="3078" width="9.375" customWidth="1"/>
    <col min="3079" max="3079" width="6.375" customWidth="1"/>
    <col min="3080" max="3082" width="9.375" customWidth="1"/>
    <col min="3083" max="3083" width="6.375" customWidth="1"/>
    <col min="3084" max="3086" width="9.375" customWidth="1"/>
    <col min="3087" max="3087" width="6.375" customWidth="1"/>
    <col min="3088" max="3090" width="9.375" customWidth="1"/>
    <col min="3329" max="3329" width="13.125" bestFit="1" customWidth="1"/>
    <col min="3330" max="3330" width="8.375" customWidth="1"/>
    <col min="3331" max="3331" width="6.375" customWidth="1"/>
    <col min="3332" max="3334" width="9.375" customWidth="1"/>
    <col min="3335" max="3335" width="6.375" customWidth="1"/>
    <col min="3336" max="3338" width="9.375" customWidth="1"/>
    <col min="3339" max="3339" width="6.375" customWidth="1"/>
    <col min="3340" max="3342" width="9.375" customWidth="1"/>
    <col min="3343" max="3343" width="6.375" customWidth="1"/>
    <col min="3344" max="3346" width="9.375" customWidth="1"/>
    <col min="3585" max="3585" width="13.125" bestFit="1" customWidth="1"/>
    <col min="3586" max="3586" width="8.375" customWidth="1"/>
    <col min="3587" max="3587" width="6.375" customWidth="1"/>
    <col min="3588" max="3590" width="9.375" customWidth="1"/>
    <col min="3591" max="3591" width="6.375" customWidth="1"/>
    <col min="3592" max="3594" width="9.375" customWidth="1"/>
    <col min="3595" max="3595" width="6.375" customWidth="1"/>
    <col min="3596" max="3598" width="9.375" customWidth="1"/>
    <col min="3599" max="3599" width="6.375" customWidth="1"/>
    <col min="3600" max="3602" width="9.375" customWidth="1"/>
    <col min="3841" max="3841" width="13.125" bestFit="1" customWidth="1"/>
    <col min="3842" max="3842" width="8.375" customWidth="1"/>
    <col min="3843" max="3843" width="6.375" customWidth="1"/>
    <col min="3844" max="3846" width="9.375" customWidth="1"/>
    <col min="3847" max="3847" width="6.375" customWidth="1"/>
    <col min="3848" max="3850" width="9.375" customWidth="1"/>
    <col min="3851" max="3851" width="6.375" customWidth="1"/>
    <col min="3852" max="3854" width="9.375" customWidth="1"/>
    <col min="3855" max="3855" width="6.375" customWidth="1"/>
    <col min="3856" max="3858" width="9.375" customWidth="1"/>
    <col min="4097" max="4097" width="13.125" bestFit="1" customWidth="1"/>
    <col min="4098" max="4098" width="8.375" customWidth="1"/>
    <col min="4099" max="4099" width="6.375" customWidth="1"/>
    <col min="4100" max="4102" width="9.375" customWidth="1"/>
    <col min="4103" max="4103" width="6.375" customWidth="1"/>
    <col min="4104" max="4106" width="9.375" customWidth="1"/>
    <col min="4107" max="4107" width="6.375" customWidth="1"/>
    <col min="4108" max="4110" width="9.375" customWidth="1"/>
    <col min="4111" max="4111" width="6.375" customWidth="1"/>
    <col min="4112" max="4114" width="9.375" customWidth="1"/>
    <col min="4353" max="4353" width="13.125" bestFit="1" customWidth="1"/>
    <col min="4354" max="4354" width="8.375" customWidth="1"/>
    <col min="4355" max="4355" width="6.375" customWidth="1"/>
    <col min="4356" max="4358" width="9.375" customWidth="1"/>
    <col min="4359" max="4359" width="6.375" customWidth="1"/>
    <col min="4360" max="4362" width="9.375" customWidth="1"/>
    <col min="4363" max="4363" width="6.375" customWidth="1"/>
    <col min="4364" max="4366" width="9.375" customWidth="1"/>
    <col min="4367" max="4367" width="6.375" customWidth="1"/>
    <col min="4368" max="4370" width="9.375" customWidth="1"/>
    <col min="4609" max="4609" width="13.125" bestFit="1" customWidth="1"/>
    <col min="4610" max="4610" width="8.375" customWidth="1"/>
    <col min="4611" max="4611" width="6.375" customWidth="1"/>
    <col min="4612" max="4614" width="9.375" customWidth="1"/>
    <col min="4615" max="4615" width="6.375" customWidth="1"/>
    <col min="4616" max="4618" width="9.375" customWidth="1"/>
    <col min="4619" max="4619" width="6.375" customWidth="1"/>
    <col min="4620" max="4622" width="9.375" customWidth="1"/>
    <col min="4623" max="4623" width="6.375" customWidth="1"/>
    <col min="4624" max="4626" width="9.375" customWidth="1"/>
    <col min="4865" max="4865" width="13.125" bestFit="1" customWidth="1"/>
    <col min="4866" max="4866" width="8.375" customWidth="1"/>
    <col min="4867" max="4867" width="6.375" customWidth="1"/>
    <col min="4868" max="4870" width="9.375" customWidth="1"/>
    <col min="4871" max="4871" width="6.375" customWidth="1"/>
    <col min="4872" max="4874" width="9.375" customWidth="1"/>
    <col min="4875" max="4875" width="6.375" customWidth="1"/>
    <col min="4876" max="4878" width="9.375" customWidth="1"/>
    <col min="4879" max="4879" width="6.375" customWidth="1"/>
    <col min="4880" max="4882" width="9.375" customWidth="1"/>
    <col min="5121" max="5121" width="13.125" bestFit="1" customWidth="1"/>
    <col min="5122" max="5122" width="8.375" customWidth="1"/>
    <col min="5123" max="5123" width="6.375" customWidth="1"/>
    <col min="5124" max="5126" width="9.375" customWidth="1"/>
    <col min="5127" max="5127" width="6.375" customWidth="1"/>
    <col min="5128" max="5130" width="9.375" customWidth="1"/>
    <col min="5131" max="5131" width="6.375" customWidth="1"/>
    <col min="5132" max="5134" width="9.375" customWidth="1"/>
    <col min="5135" max="5135" width="6.375" customWidth="1"/>
    <col min="5136" max="5138" width="9.375" customWidth="1"/>
    <col min="5377" max="5377" width="13.125" bestFit="1" customWidth="1"/>
    <col min="5378" max="5378" width="8.375" customWidth="1"/>
    <col min="5379" max="5379" width="6.375" customWidth="1"/>
    <col min="5380" max="5382" width="9.375" customWidth="1"/>
    <col min="5383" max="5383" width="6.375" customWidth="1"/>
    <col min="5384" max="5386" width="9.375" customWidth="1"/>
    <col min="5387" max="5387" width="6.375" customWidth="1"/>
    <col min="5388" max="5390" width="9.375" customWidth="1"/>
    <col min="5391" max="5391" width="6.375" customWidth="1"/>
    <col min="5392" max="5394" width="9.375" customWidth="1"/>
    <col min="5633" max="5633" width="13.125" bestFit="1" customWidth="1"/>
    <col min="5634" max="5634" width="8.375" customWidth="1"/>
    <col min="5635" max="5635" width="6.375" customWidth="1"/>
    <col min="5636" max="5638" width="9.375" customWidth="1"/>
    <col min="5639" max="5639" width="6.375" customWidth="1"/>
    <col min="5640" max="5642" width="9.375" customWidth="1"/>
    <col min="5643" max="5643" width="6.375" customWidth="1"/>
    <col min="5644" max="5646" width="9.375" customWidth="1"/>
    <col min="5647" max="5647" width="6.375" customWidth="1"/>
    <col min="5648" max="5650" width="9.375" customWidth="1"/>
    <col min="5889" max="5889" width="13.125" bestFit="1" customWidth="1"/>
    <col min="5890" max="5890" width="8.375" customWidth="1"/>
    <col min="5891" max="5891" width="6.375" customWidth="1"/>
    <col min="5892" max="5894" width="9.375" customWidth="1"/>
    <col min="5895" max="5895" width="6.375" customWidth="1"/>
    <col min="5896" max="5898" width="9.375" customWidth="1"/>
    <col min="5899" max="5899" width="6.375" customWidth="1"/>
    <col min="5900" max="5902" width="9.375" customWidth="1"/>
    <col min="5903" max="5903" width="6.375" customWidth="1"/>
    <col min="5904" max="5906" width="9.375" customWidth="1"/>
    <col min="6145" max="6145" width="13.125" bestFit="1" customWidth="1"/>
    <col min="6146" max="6146" width="8.375" customWidth="1"/>
    <col min="6147" max="6147" width="6.375" customWidth="1"/>
    <col min="6148" max="6150" width="9.375" customWidth="1"/>
    <col min="6151" max="6151" width="6.375" customWidth="1"/>
    <col min="6152" max="6154" width="9.375" customWidth="1"/>
    <col min="6155" max="6155" width="6.375" customWidth="1"/>
    <col min="6156" max="6158" width="9.375" customWidth="1"/>
    <col min="6159" max="6159" width="6.375" customWidth="1"/>
    <col min="6160" max="6162" width="9.375" customWidth="1"/>
    <col min="6401" max="6401" width="13.125" bestFit="1" customWidth="1"/>
    <col min="6402" max="6402" width="8.375" customWidth="1"/>
    <col min="6403" max="6403" width="6.375" customWidth="1"/>
    <col min="6404" max="6406" width="9.375" customWidth="1"/>
    <col min="6407" max="6407" width="6.375" customWidth="1"/>
    <col min="6408" max="6410" width="9.375" customWidth="1"/>
    <col min="6411" max="6411" width="6.375" customWidth="1"/>
    <col min="6412" max="6414" width="9.375" customWidth="1"/>
    <col min="6415" max="6415" width="6.375" customWidth="1"/>
    <col min="6416" max="6418" width="9.375" customWidth="1"/>
    <col min="6657" max="6657" width="13.125" bestFit="1" customWidth="1"/>
    <col min="6658" max="6658" width="8.375" customWidth="1"/>
    <col min="6659" max="6659" width="6.375" customWidth="1"/>
    <col min="6660" max="6662" width="9.375" customWidth="1"/>
    <col min="6663" max="6663" width="6.375" customWidth="1"/>
    <col min="6664" max="6666" width="9.375" customWidth="1"/>
    <col min="6667" max="6667" width="6.375" customWidth="1"/>
    <col min="6668" max="6670" width="9.375" customWidth="1"/>
    <col min="6671" max="6671" width="6.375" customWidth="1"/>
    <col min="6672" max="6674" width="9.375" customWidth="1"/>
    <col min="6913" max="6913" width="13.125" bestFit="1" customWidth="1"/>
    <col min="6914" max="6914" width="8.375" customWidth="1"/>
    <col min="6915" max="6915" width="6.375" customWidth="1"/>
    <col min="6916" max="6918" width="9.375" customWidth="1"/>
    <col min="6919" max="6919" width="6.375" customWidth="1"/>
    <col min="6920" max="6922" width="9.375" customWidth="1"/>
    <col min="6923" max="6923" width="6.375" customWidth="1"/>
    <col min="6924" max="6926" width="9.375" customWidth="1"/>
    <col min="6927" max="6927" width="6.375" customWidth="1"/>
    <col min="6928" max="6930" width="9.375" customWidth="1"/>
    <col min="7169" max="7169" width="13.125" bestFit="1" customWidth="1"/>
    <col min="7170" max="7170" width="8.375" customWidth="1"/>
    <col min="7171" max="7171" width="6.375" customWidth="1"/>
    <col min="7172" max="7174" width="9.375" customWidth="1"/>
    <col min="7175" max="7175" width="6.375" customWidth="1"/>
    <col min="7176" max="7178" width="9.375" customWidth="1"/>
    <col min="7179" max="7179" width="6.375" customWidth="1"/>
    <col min="7180" max="7182" width="9.375" customWidth="1"/>
    <col min="7183" max="7183" width="6.375" customWidth="1"/>
    <col min="7184" max="7186" width="9.375" customWidth="1"/>
    <col min="7425" max="7425" width="13.125" bestFit="1" customWidth="1"/>
    <col min="7426" max="7426" width="8.375" customWidth="1"/>
    <col min="7427" max="7427" width="6.375" customWidth="1"/>
    <col min="7428" max="7430" width="9.375" customWidth="1"/>
    <col min="7431" max="7431" width="6.375" customWidth="1"/>
    <col min="7432" max="7434" width="9.375" customWidth="1"/>
    <col min="7435" max="7435" width="6.375" customWidth="1"/>
    <col min="7436" max="7438" width="9.375" customWidth="1"/>
    <col min="7439" max="7439" width="6.375" customWidth="1"/>
    <col min="7440" max="7442" width="9.375" customWidth="1"/>
    <col min="7681" max="7681" width="13.125" bestFit="1" customWidth="1"/>
    <col min="7682" max="7682" width="8.375" customWidth="1"/>
    <col min="7683" max="7683" width="6.375" customWidth="1"/>
    <col min="7684" max="7686" width="9.375" customWidth="1"/>
    <col min="7687" max="7687" width="6.375" customWidth="1"/>
    <col min="7688" max="7690" width="9.375" customWidth="1"/>
    <col min="7691" max="7691" width="6.375" customWidth="1"/>
    <col min="7692" max="7694" width="9.375" customWidth="1"/>
    <col min="7695" max="7695" width="6.375" customWidth="1"/>
    <col min="7696" max="7698" width="9.375" customWidth="1"/>
    <col min="7937" max="7937" width="13.125" bestFit="1" customWidth="1"/>
    <col min="7938" max="7938" width="8.375" customWidth="1"/>
    <col min="7939" max="7939" width="6.375" customWidth="1"/>
    <col min="7940" max="7942" width="9.375" customWidth="1"/>
    <col min="7943" max="7943" width="6.375" customWidth="1"/>
    <col min="7944" max="7946" width="9.375" customWidth="1"/>
    <col min="7947" max="7947" width="6.375" customWidth="1"/>
    <col min="7948" max="7950" width="9.375" customWidth="1"/>
    <col min="7951" max="7951" width="6.375" customWidth="1"/>
    <col min="7952" max="7954" width="9.375" customWidth="1"/>
    <col min="8193" max="8193" width="13.125" bestFit="1" customWidth="1"/>
    <col min="8194" max="8194" width="8.375" customWidth="1"/>
    <col min="8195" max="8195" width="6.375" customWidth="1"/>
    <col min="8196" max="8198" width="9.375" customWidth="1"/>
    <col min="8199" max="8199" width="6.375" customWidth="1"/>
    <col min="8200" max="8202" width="9.375" customWidth="1"/>
    <col min="8203" max="8203" width="6.375" customWidth="1"/>
    <col min="8204" max="8206" width="9.375" customWidth="1"/>
    <col min="8207" max="8207" width="6.375" customWidth="1"/>
    <col min="8208" max="8210" width="9.375" customWidth="1"/>
    <col min="8449" max="8449" width="13.125" bestFit="1" customWidth="1"/>
    <col min="8450" max="8450" width="8.375" customWidth="1"/>
    <col min="8451" max="8451" width="6.375" customWidth="1"/>
    <col min="8452" max="8454" width="9.375" customWidth="1"/>
    <col min="8455" max="8455" width="6.375" customWidth="1"/>
    <col min="8456" max="8458" width="9.375" customWidth="1"/>
    <col min="8459" max="8459" width="6.375" customWidth="1"/>
    <col min="8460" max="8462" width="9.375" customWidth="1"/>
    <col min="8463" max="8463" width="6.375" customWidth="1"/>
    <col min="8464" max="8466" width="9.375" customWidth="1"/>
    <col min="8705" max="8705" width="13.125" bestFit="1" customWidth="1"/>
    <col min="8706" max="8706" width="8.375" customWidth="1"/>
    <col min="8707" max="8707" width="6.375" customWidth="1"/>
    <col min="8708" max="8710" width="9.375" customWidth="1"/>
    <col min="8711" max="8711" width="6.375" customWidth="1"/>
    <col min="8712" max="8714" width="9.375" customWidth="1"/>
    <col min="8715" max="8715" width="6.375" customWidth="1"/>
    <col min="8716" max="8718" width="9.375" customWidth="1"/>
    <col min="8719" max="8719" width="6.375" customWidth="1"/>
    <col min="8720" max="8722" width="9.375" customWidth="1"/>
    <col min="8961" max="8961" width="13.125" bestFit="1" customWidth="1"/>
    <col min="8962" max="8962" width="8.375" customWidth="1"/>
    <col min="8963" max="8963" width="6.375" customWidth="1"/>
    <col min="8964" max="8966" width="9.375" customWidth="1"/>
    <col min="8967" max="8967" width="6.375" customWidth="1"/>
    <col min="8968" max="8970" width="9.375" customWidth="1"/>
    <col min="8971" max="8971" width="6.375" customWidth="1"/>
    <col min="8972" max="8974" width="9.375" customWidth="1"/>
    <col min="8975" max="8975" width="6.375" customWidth="1"/>
    <col min="8976" max="8978" width="9.375" customWidth="1"/>
    <col min="9217" max="9217" width="13.125" bestFit="1" customWidth="1"/>
    <col min="9218" max="9218" width="8.375" customWidth="1"/>
    <col min="9219" max="9219" width="6.375" customWidth="1"/>
    <col min="9220" max="9222" width="9.375" customWidth="1"/>
    <col min="9223" max="9223" width="6.375" customWidth="1"/>
    <col min="9224" max="9226" width="9.375" customWidth="1"/>
    <col min="9227" max="9227" width="6.375" customWidth="1"/>
    <col min="9228" max="9230" width="9.375" customWidth="1"/>
    <col min="9231" max="9231" width="6.375" customWidth="1"/>
    <col min="9232" max="9234" width="9.375" customWidth="1"/>
    <col min="9473" max="9473" width="13.125" bestFit="1" customWidth="1"/>
    <col min="9474" max="9474" width="8.375" customWidth="1"/>
    <col min="9475" max="9475" width="6.375" customWidth="1"/>
    <col min="9476" max="9478" width="9.375" customWidth="1"/>
    <col min="9479" max="9479" width="6.375" customWidth="1"/>
    <col min="9480" max="9482" width="9.375" customWidth="1"/>
    <col min="9483" max="9483" width="6.375" customWidth="1"/>
    <col min="9484" max="9486" width="9.375" customWidth="1"/>
    <col min="9487" max="9487" width="6.375" customWidth="1"/>
    <col min="9488" max="9490" width="9.375" customWidth="1"/>
    <col min="9729" max="9729" width="13.125" bestFit="1" customWidth="1"/>
    <col min="9730" max="9730" width="8.375" customWidth="1"/>
    <col min="9731" max="9731" width="6.375" customWidth="1"/>
    <col min="9732" max="9734" width="9.375" customWidth="1"/>
    <col min="9735" max="9735" width="6.375" customWidth="1"/>
    <col min="9736" max="9738" width="9.375" customWidth="1"/>
    <col min="9739" max="9739" width="6.375" customWidth="1"/>
    <col min="9740" max="9742" width="9.375" customWidth="1"/>
    <col min="9743" max="9743" width="6.375" customWidth="1"/>
    <col min="9744" max="9746" width="9.375" customWidth="1"/>
    <col min="9985" max="9985" width="13.125" bestFit="1" customWidth="1"/>
    <col min="9986" max="9986" width="8.375" customWidth="1"/>
    <col min="9987" max="9987" width="6.375" customWidth="1"/>
    <col min="9988" max="9990" width="9.375" customWidth="1"/>
    <col min="9991" max="9991" width="6.375" customWidth="1"/>
    <col min="9992" max="9994" width="9.375" customWidth="1"/>
    <col min="9995" max="9995" width="6.375" customWidth="1"/>
    <col min="9996" max="9998" width="9.375" customWidth="1"/>
    <col min="9999" max="9999" width="6.375" customWidth="1"/>
    <col min="10000" max="10002" width="9.375" customWidth="1"/>
    <col min="10241" max="10241" width="13.125" bestFit="1" customWidth="1"/>
    <col min="10242" max="10242" width="8.375" customWidth="1"/>
    <col min="10243" max="10243" width="6.375" customWidth="1"/>
    <col min="10244" max="10246" width="9.375" customWidth="1"/>
    <col min="10247" max="10247" width="6.375" customWidth="1"/>
    <col min="10248" max="10250" width="9.375" customWidth="1"/>
    <col min="10251" max="10251" width="6.375" customWidth="1"/>
    <col min="10252" max="10254" width="9.375" customWidth="1"/>
    <col min="10255" max="10255" width="6.375" customWidth="1"/>
    <col min="10256" max="10258" width="9.375" customWidth="1"/>
    <col min="10497" max="10497" width="13.125" bestFit="1" customWidth="1"/>
    <col min="10498" max="10498" width="8.375" customWidth="1"/>
    <col min="10499" max="10499" width="6.375" customWidth="1"/>
    <col min="10500" max="10502" width="9.375" customWidth="1"/>
    <col min="10503" max="10503" width="6.375" customWidth="1"/>
    <col min="10504" max="10506" width="9.375" customWidth="1"/>
    <col min="10507" max="10507" width="6.375" customWidth="1"/>
    <col min="10508" max="10510" width="9.375" customWidth="1"/>
    <col min="10511" max="10511" width="6.375" customWidth="1"/>
    <col min="10512" max="10514" width="9.375" customWidth="1"/>
    <col min="10753" max="10753" width="13.125" bestFit="1" customWidth="1"/>
    <col min="10754" max="10754" width="8.375" customWidth="1"/>
    <col min="10755" max="10755" width="6.375" customWidth="1"/>
    <col min="10756" max="10758" width="9.375" customWidth="1"/>
    <col min="10759" max="10759" width="6.375" customWidth="1"/>
    <col min="10760" max="10762" width="9.375" customWidth="1"/>
    <col min="10763" max="10763" width="6.375" customWidth="1"/>
    <col min="10764" max="10766" width="9.375" customWidth="1"/>
    <col min="10767" max="10767" width="6.375" customWidth="1"/>
    <col min="10768" max="10770" width="9.375" customWidth="1"/>
    <col min="11009" max="11009" width="13.125" bestFit="1" customWidth="1"/>
    <col min="11010" max="11010" width="8.375" customWidth="1"/>
    <col min="11011" max="11011" width="6.375" customWidth="1"/>
    <col min="11012" max="11014" width="9.375" customWidth="1"/>
    <col min="11015" max="11015" width="6.375" customWidth="1"/>
    <col min="11016" max="11018" width="9.375" customWidth="1"/>
    <col min="11019" max="11019" width="6.375" customWidth="1"/>
    <col min="11020" max="11022" width="9.375" customWidth="1"/>
    <col min="11023" max="11023" width="6.375" customWidth="1"/>
    <col min="11024" max="11026" width="9.375" customWidth="1"/>
    <col min="11265" max="11265" width="13.125" bestFit="1" customWidth="1"/>
    <col min="11266" max="11266" width="8.375" customWidth="1"/>
    <col min="11267" max="11267" width="6.375" customWidth="1"/>
    <col min="11268" max="11270" width="9.375" customWidth="1"/>
    <col min="11271" max="11271" width="6.375" customWidth="1"/>
    <col min="11272" max="11274" width="9.375" customWidth="1"/>
    <col min="11275" max="11275" width="6.375" customWidth="1"/>
    <col min="11276" max="11278" width="9.375" customWidth="1"/>
    <col min="11279" max="11279" width="6.375" customWidth="1"/>
    <col min="11280" max="11282" width="9.375" customWidth="1"/>
    <col min="11521" max="11521" width="13.125" bestFit="1" customWidth="1"/>
    <col min="11522" max="11522" width="8.375" customWidth="1"/>
    <col min="11523" max="11523" width="6.375" customWidth="1"/>
    <col min="11524" max="11526" width="9.375" customWidth="1"/>
    <col min="11527" max="11527" width="6.375" customWidth="1"/>
    <col min="11528" max="11530" width="9.375" customWidth="1"/>
    <col min="11531" max="11531" width="6.375" customWidth="1"/>
    <col min="11532" max="11534" width="9.375" customWidth="1"/>
    <col min="11535" max="11535" width="6.375" customWidth="1"/>
    <col min="11536" max="11538" width="9.375" customWidth="1"/>
    <col min="11777" max="11777" width="13.125" bestFit="1" customWidth="1"/>
    <col min="11778" max="11778" width="8.375" customWidth="1"/>
    <col min="11779" max="11779" width="6.375" customWidth="1"/>
    <col min="11780" max="11782" width="9.375" customWidth="1"/>
    <col min="11783" max="11783" width="6.375" customWidth="1"/>
    <col min="11784" max="11786" width="9.375" customWidth="1"/>
    <col min="11787" max="11787" width="6.375" customWidth="1"/>
    <col min="11788" max="11790" width="9.375" customWidth="1"/>
    <col min="11791" max="11791" width="6.375" customWidth="1"/>
    <col min="11792" max="11794" width="9.375" customWidth="1"/>
    <col min="12033" max="12033" width="13.125" bestFit="1" customWidth="1"/>
    <col min="12034" max="12034" width="8.375" customWidth="1"/>
    <col min="12035" max="12035" width="6.375" customWidth="1"/>
    <col min="12036" max="12038" width="9.375" customWidth="1"/>
    <col min="12039" max="12039" width="6.375" customWidth="1"/>
    <col min="12040" max="12042" width="9.375" customWidth="1"/>
    <col min="12043" max="12043" width="6.375" customWidth="1"/>
    <col min="12044" max="12046" width="9.375" customWidth="1"/>
    <col min="12047" max="12047" width="6.375" customWidth="1"/>
    <col min="12048" max="12050" width="9.375" customWidth="1"/>
    <col min="12289" max="12289" width="13.125" bestFit="1" customWidth="1"/>
    <col min="12290" max="12290" width="8.375" customWidth="1"/>
    <col min="12291" max="12291" width="6.375" customWidth="1"/>
    <col min="12292" max="12294" width="9.375" customWidth="1"/>
    <col min="12295" max="12295" width="6.375" customWidth="1"/>
    <col min="12296" max="12298" width="9.375" customWidth="1"/>
    <col min="12299" max="12299" width="6.375" customWidth="1"/>
    <col min="12300" max="12302" width="9.375" customWidth="1"/>
    <col min="12303" max="12303" width="6.375" customWidth="1"/>
    <col min="12304" max="12306" width="9.375" customWidth="1"/>
    <col min="12545" max="12545" width="13.125" bestFit="1" customWidth="1"/>
    <col min="12546" max="12546" width="8.375" customWidth="1"/>
    <col min="12547" max="12547" width="6.375" customWidth="1"/>
    <col min="12548" max="12550" width="9.375" customWidth="1"/>
    <col min="12551" max="12551" width="6.375" customWidth="1"/>
    <col min="12552" max="12554" width="9.375" customWidth="1"/>
    <col min="12555" max="12555" width="6.375" customWidth="1"/>
    <col min="12556" max="12558" width="9.375" customWidth="1"/>
    <col min="12559" max="12559" width="6.375" customWidth="1"/>
    <col min="12560" max="12562" width="9.375" customWidth="1"/>
    <col min="12801" max="12801" width="13.125" bestFit="1" customWidth="1"/>
    <col min="12802" max="12802" width="8.375" customWidth="1"/>
    <col min="12803" max="12803" width="6.375" customWidth="1"/>
    <col min="12804" max="12806" width="9.375" customWidth="1"/>
    <col min="12807" max="12807" width="6.375" customWidth="1"/>
    <col min="12808" max="12810" width="9.375" customWidth="1"/>
    <col min="12811" max="12811" width="6.375" customWidth="1"/>
    <col min="12812" max="12814" width="9.375" customWidth="1"/>
    <col min="12815" max="12815" width="6.375" customWidth="1"/>
    <col min="12816" max="12818" width="9.375" customWidth="1"/>
    <col min="13057" max="13057" width="13.125" bestFit="1" customWidth="1"/>
    <col min="13058" max="13058" width="8.375" customWidth="1"/>
    <col min="13059" max="13059" width="6.375" customWidth="1"/>
    <col min="13060" max="13062" width="9.375" customWidth="1"/>
    <col min="13063" max="13063" width="6.375" customWidth="1"/>
    <col min="13064" max="13066" width="9.375" customWidth="1"/>
    <col min="13067" max="13067" width="6.375" customWidth="1"/>
    <col min="13068" max="13070" width="9.375" customWidth="1"/>
    <col min="13071" max="13071" width="6.375" customWidth="1"/>
    <col min="13072" max="13074" width="9.375" customWidth="1"/>
    <col min="13313" max="13313" width="13.125" bestFit="1" customWidth="1"/>
    <col min="13314" max="13314" width="8.375" customWidth="1"/>
    <col min="13315" max="13315" width="6.375" customWidth="1"/>
    <col min="13316" max="13318" width="9.375" customWidth="1"/>
    <col min="13319" max="13319" width="6.375" customWidth="1"/>
    <col min="13320" max="13322" width="9.375" customWidth="1"/>
    <col min="13323" max="13323" width="6.375" customWidth="1"/>
    <col min="13324" max="13326" width="9.375" customWidth="1"/>
    <col min="13327" max="13327" width="6.375" customWidth="1"/>
    <col min="13328" max="13330" width="9.375" customWidth="1"/>
    <col min="13569" max="13569" width="13.125" bestFit="1" customWidth="1"/>
    <col min="13570" max="13570" width="8.375" customWidth="1"/>
    <col min="13571" max="13571" width="6.375" customWidth="1"/>
    <col min="13572" max="13574" width="9.375" customWidth="1"/>
    <col min="13575" max="13575" width="6.375" customWidth="1"/>
    <col min="13576" max="13578" width="9.375" customWidth="1"/>
    <col min="13579" max="13579" width="6.375" customWidth="1"/>
    <col min="13580" max="13582" width="9.375" customWidth="1"/>
    <col min="13583" max="13583" width="6.375" customWidth="1"/>
    <col min="13584" max="13586" width="9.375" customWidth="1"/>
    <col min="13825" max="13825" width="13.125" bestFit="1" customWidth="1"/>
    <col min="13826" max="13826" width="8.375" customWidth="1"/>
    <col min="13827" max="13827" width="6.375" customWidth="1"/>
    <col min="13828" max="13830" width="9.375" customWidth="1"/>
    <col min="13831" max="13831" width="6.375" customWidth="1"/>
    <col min="13832" max="13834" width="9.375" customWidth="1"/>
    <col min="13835" max="13835" width="6.375" customWidth="1"/>
    <col min="13836" max="13838" width="9.375" customWidth="1"/>
    <col min="13839" max="13839" width="6.375" customWidth="1"/>
    <col min="13840" max="13842" width="9.375" customWidth="1"/>
    <col min="14081" max="14081" width="13.125" bestFit="1" customWidth="1"/>
    <col min="14082" max="14082" width="8.375" customWidth="1"/>
    <col min="14083" max="14083" width="6.375" customWidth="1"/>
    <col min="14084" max="14086" width="9.375" customWidth="1"/>
    <col min="14087" max="14087" width="6.375" customWidth="1"/>
    <col min="14088" max="14090" width="9.375" customWidth="1"/>
    <col min="14091" max="14091" width="6.375" customWidth="1"/>
    <col min="14092" max="14094" width="9.375" customWidth="1"/>
    <col min="14095" max="14095" width="6.375" customWidth="1"/>
    <col min="14096" max="14098" width="9.375" customWidth="1"/>
    <col min="14337" max="14337" width="13.125" bestFit="1" customWidth="1"/>
    <col min="14338" max="14338" width="8.375" customWidth="1"/>
    <col min="14339" max="14339" width="6.375" customWidth="1"/>
    <col min="14340" max="14342" width="9.375" customWidth="1"/>
    <col min="14343" max="14343" width="6.375" customWidth="1"/>
    <col min="14344" max="14346" width="9.375" customWidth="1"/>
    <col min="14347" max="14347" width="6.375" customWidth="1"/>
    <col min="14348" max="14350" width="9.375" customWidth="1"/>
    <col min="14351" max="14351" width="6.375" customWidth="1"/>
    <col min="14352" max="14354" width="9.375" customWidth="1"/>
    <col min="14593" max="14593" width="13.125" bestFit="1" customWidth="1"/>
    <col min="14594" max="14594" width="8.375" customWidth="1"/>
    <col min="14595" max="14595" width="6.375" customWidth="1"/>
    <col min="14596" max="14598" width="9.375" customWidth="1"/>
    <col min="14599" max="14599" width="6.375" customWidth="1"/>
    <col min="14600" max="14602" width="9.375" customWidth="1"/>
    <col min="14603" max="14603" width="6.375" customWidth="1"/>
    <col min="14604" max="14606" width="9.375" customWidth="1"/>
    <col min="14607" max="14607" width="6.375" customWidth="1"/>
    <col min="14608" max="14610" width="9.375" customWidth="1"/>
    <col min="14849" max="14849" width="13.125" bestFit="1" customWidth="1"/>
    <col min="14850" max="14850" width="8.375" customWidth="1"/>
    <col min="14851" max="14851" width="6.375" customWidth="1"/>
    <col min="14852" max="14854" width="9.375" customWidth="1"/>
    <col min="14855" max="14855" width="6.375" customWidth="1"/>
    <col min="14856" max="14858" width="9.375" customWidth="1"/>
    <col min="14859" max="14859" width="6.375" customWidth="1"/>
    <col min="14860" max="14862" width="9.375" customWidth="1"/>
    <col min="14863" max="14863" width="6.375" customWidth="1"/>
    <col min="14864" max="14866" width="9.375" customWidth="1"/>
    <col min="15105" max="15105" width="13.125" bestFit="1" customWidth="1"/>
    <col min="15106" max="15106" width="8.375" customWidth="1"/>
    <col min="15107" max="15107" width="6.375" customWidth="1"/>
    <col min="15108" max="15110" width="9.375" customWidth="1"/>
    <col min="15111" max="15111" width="6.375" customWidth="1"/>
    <col min="15112" max="15114" width="9.375" customWidth="1"/>
    <col min="15115" max="15115" width="6.375" customWidth="1"/>
    <col min="15116" max="15118" width="9.375" customWidth="1"/>
    <col min="15119" max="15119" width="6.375" customWidth="1"/>
    <col min="15120" max="15122" width="9.375" customWidth="1"/>
    <col min="15361" max="15361" width="13.125" bestFit="1" customWidth="1"/>
    <col min="15362" max="15362" width="8.375" customWidth="1"/>
    <col min="15363" max="15363" width="6.375" customWidth="1"/>
    <col min="15364" max="15366" width="9.375" customWidth="1"/>
    <col min="15367" max="15367" width="6.375" customWidth="1"/>
    <col min="15368" max="15370" width="9.375" customWidth="1"/>
    <col min="15371" max="15371" width="6.375" customWidth="1"/>
    <col min="15372" max="15374" width="9.375" customWidth="1"/>
    <col min="15375" max="15375" width="6.375" customWidth="1"/>
    <col min="15376" max="15378" width="9.375" customWidth="1"/>
    <col min="15617" max="15617" width="13.125" bestFit="1" customWidth="1"/>
    <col min="15618" max="15618" width="8.375" customWidth="1"/>
    <col min="15619" max="15619" width="6.375" customWidth="1"/>
    <col min="15620" max="15622" width="9.375" customWidth="1"/>
    <col min="15623" max="15623" width="6.375" customWidth="1"/>
    <col min="15624" max="15626" width="9.375" customWidth="1"/>
    <col min="15627" max="15627" width="6.375" customWidth="1"/>
    <col min="15628" max="15630" width="9.375" customWidth="1"/>
    <col min="15631" max="15631" width="6.375" customWidth="1"/>
    <col min="15632" max="15634" width="9.375" customWidth="1"/>
    <col min="15873" max="15873" width="13.125" bestFit="1" customWidth="1"/>
    <col min="15874" max="15874" width="8.375" customWidth="1"/>
    <col min="15875" max="15875" width="6.375" customWidth="1"/>
    <col min="15876" max="15878" width="9.375" customWidth="1"/>
    <col min="15879" max="15879" width="6.375" customWidth="1"/>
    <col min="15880" max="15882" width="9.375" customWidth="1"/>
    <col min="15883" max="15883" width="6.375" customWidth="1"/>
    <col min="15884" max="15886" width="9.375" customWidth="1"/>
    <col min="15887" max="15887" width="6.375" customWidth="1"/>
    <col min="15888" max="15890" width="9.375" customWidth="1"/>
    <col min="16129" max="16129" width="13.125" bestFit="1" customWidth="1"/>
    <col min="16130" max="16130" width="8.375" customWidth="1"/>
    <col min="16131" max="16131" width="6.375" customWidth="1"/>
    <col min="16132" max="16134" width="9.375" customWidth="1"/>
    <col min="16135" max="16135" width="6.375" customWidth="1"/>
    <col min="16136" max="16138" width="9.375" customWidth="1"/>
    <col min="16139" max="16139" width="6.375" customWidth="1"/>
    <col min="16140" max="16142" width="9.375" customWidth="1"/>
    <col min="16143" max="16143" width="6.375" customWidth="1"/>
    <col min="16144" max="16146" width="9.375" customWidth="1"/>
  </cols>
  <sheetData>
    <row r="1" spans="1:20" ht="16.5" thickBot="1" x14ac:dyDescent="0.35">
      <c r="A1" s="195" t="s">
        <v>505</v>
      </c>
      <c r="B1" s="195"/>
      <c r="C1" s="195"/>
    </row>
    <row r="2" spans="1:20" ht="15.75" x14ac:dyDescent="0.3">
      <c r="A2" s="181"/>
      <c r="B2" s="196"/>
      <c r="C2" s="332" t="s">
        <v>107</v>
      </c>
      <c r="D2" s="333"/>
      <c r="E2" s="333"/>
      <c r="F2" s="334"/>
      <c r="G2" s="332" t="s">
        <v>151</v>
      </c>
      <c r="H2" s="335"/>
      <c r="I2" s="335"/>
      <c r="J2" s="336"/>
      <c r="K2" s="332" t="s">
        <v>506</v>
      </c>
      <c r="L2" s="335"/>
      <c r="M2" s="335"/>
      <c r="N2" s="336"/>
      <c r="O2" s="332" t="s">
        <v>140</v>
      </c>
      <c r="P2" s="335"/>
      <c r="Q2" s="335"/>
      <c r="R2" s="336"/>
    </row>
    <row r="3" spans="1:20" ht="30.75" x14ac:dyDescent="0.3">
      <c r="A3" s="197" t="s">
        <v>285</v>
      </c>
      <c r="B3" s="198"/>
      <c r="C3" s="199" t="s">
        <v>507</v>
      </c>
      <c r="D3" s="197" t="s">
        <v>508</v>
      </c>
      <c r="E3" s="197" t="s">
        <v>509</v>
      </c>
      <c r="F3" s="200" t="s">
        <v>140</v>
      </c>
      <c r="G3" s="199" t="s">
        <v>507</v>
      </c>
      <c r="H3" s="197" t="s">
        <v>508</v>
      </c>
      <c r="I3" s="197" t="s">
        <v>509</v>
      </c>
      <c r="J3" s="200" t="s">
        <v>140</v>
      </c>
      <c r="K3" s="199" t="s">
        <v>507</v>
      </c>
      <c r="L3" s="197" t="s">
        <v>508</v>
      </c>
      <c r="M3" s="197" t="s">
        <v>509</v>
      </c>
      <c r="N3" s="200" t="s">
        <v>140</v>
      </c>
      <c r="O3" s="199" t="s">
        <v>507</v>
      </c>
      <c r="P3" s="197" t="s">
        <v>508</v>
      </c>
      <c r="Q3" s="197" t="s">
        <v>509</v>
      </c>
      <c r="R3" s="200" t="s">
        <v>140</v>
      </c>
      <c r="T3" s="208" t="s">
        <v>510</v>
      </c>
    </row>
    <row r="4" spans="1:20" ht="15.75" x14ac:dyDescent="0.3">
      <c r="A4" s="222" t="s">
        <v>890</v>
      </c>
      <c r="B4" s="202" t="s">
        <v>135</v>
      </c>
      <c r="C4" s="203">
        <v>77</v>
      </c>
      <c r="D4" s="204">
        <v>254327.74999999994</v>
      </c>
      <c r="E4" s="204">
        <v>21277.49</v>
      </c>
      <c r="F4" s="205">
        <v>275605.23999999993</v>
      </c>
      <c r="G4" s="206">
        <v>8</v>
      </c>
      <c r="H4" s="204">
        <v>36550.44</v>
      </c>
      <c r="I4" s="204">
        <v>3161.71</v>
      </c>
      <c r="J4" s="205">
        <v>39712.15</v>
      </c>
      <c r="K4" s="206">
        <v>34</v>
      </c>
      <c r="L4" s="204">
        <v>203886.57</v>
      </c>
      <c r="M4" s="204">
        <v>17837.580000000002</v>
      </c>
      <c r="N4" s="205">
        <v>221724.15000000002</v>
      </c>
      <c r="O4" s="206">
        <v>119</v>
      </c>
      <c r="P4" s="204">
        <v>494764.75999999995</v>
      </c>
      <c r="Q4" s="204">
        <v>42276.78</v>
      </c>
      <c r="R4" s="207">
        <v>537041.54</v>
      </c>
      <c r="S4" s="82"/>
      <c r="T4" s="82"/>
    </row>
    <row r="5" spans="1:20" ht="15.75" x14ac:dyDescent="0.3">
      <c r="A5" s="201" t="s">
        <v>891</v>
      </c>
      <c r="B5" s="202" t="s">
        <v>135</v>
      </c>
      <c r="C5" s="203">
        <v>76</v>
      </c>
      <c r="D5" s="204">
        <v>247705.36</v>
      </c>
      <c r="E5" s="204">
        <v>21139.7</v>
      </c>
      <c r="F5" s="205">
        <v>268845.06</v>
      </c>
      <c r="G5" s="206">
        <v>8</v>
      </c>
      <c r="H5" s="204">
        <v>36639.58</v>
      </c>
      <c r="I5" s="204">
        <v>3173.66</v>
      </c>
      <c r="J5" s="205">
        <v>39813.240000000005</v>
      </c>
      <c r="K5" s="206">
        <v>34</v>
      </c>
      <c r="L5" s="204">
        <v>200353.33</v>
      </c>
      <c r="M5" s="204">
        <v>17369.75</v>
      </c>
      <c r="N5" s="205">
        <v>217723.08</v>
      </c>
      <c r="O5" s="206">
        <v>118</v>
      </c>
      <c r="P5" s="204">
        <v>484698.27</v>
      </c>
      <c r="Q5" s="204">
        <v>41683.11</v>
      </c>
      <c r="R5" s="207">
        <v>526381.38</v>
      </c>
      <c r="S5" s="82"/>
      <c r="T5" s="82"/>
    </row>
    <row r="6" spans="1:20" ht="15.75" x14ac:dyDescent="0.3">
      <c r="A6" s="201" t="s">
        <v>895</v>
      </c>
      <c r="B6" s="202" t="s">
        <v>135</v>
      </c>
      <c r="C6" s="203">
        <v>76</v>
      </c>
      <c r="D6" s="204">
        <v>252909.85</v>
      </c>
      <c r="E6" s="204">
        <v>19829.669999999998</v>
      </c>
      <c r="F6" s="205">
        <v>272739.52</v>
      </c>
      <c r="G6" s="206">
        <v>8</v>
      </c>
      <c r="H6" s="204">
        <v>31925.479999999901</v>
      </c>
      <c r="I6" s="204">
        <v>7708.08</v>
      </c>
      <c r="J6" s="205">
        <v>39633.559999999903</v>
      </c>
      <c r="K6" s="206">
        <v>33</v>
      </c>
      <c r="L6" s="204">
        <v>127360.35</v>
      </c>
      <c r="M6" s="204">
        <v>52588.57</v>
      </c>
      <c r="N6" s="205">
        <v>179948.92</v>
      </c>
      <c r="O6" s="206">
        <v>117</v>
      </c>
      <c r="P6" s="204">
        <v>412195.67999999993</v>
      </c>
      <c r="Q6" s="204">
        <v>80126.320000000007</v>
      </c>
      <c r="R6" s="207">
        <v>492321.99999999988</v>
      </c>
      <c r="S6" s="82"/>
      <c r="T6" s="82"/>
    </row>
    <row r="7" spans="1:20" ht="15.75" x14ac:dyDescent="0.3">
      <c r="A7" s="201" t="s">
        <v>896</v>
      </c>
      <c r="B7" s="202" t="s">
        <v>135</v>
      </c>
      <c r="C7" s="203">
        <v>75</v>
      </c>
      <c r="D7" s="204">
        <v>233073.39</v>
      </c>
      <c r="E7" s="204">
        <v>23864.97</v>
      </c>
      <c r="F7" s="205">
        <v>256938.36000000002</v>
      </c>
      <c r="G7" s="206">
        <v>8</v>
      </c>
      <c r="H7" s="204">
        <v>32625.65</v>
      </c>
      <c r="I7" s="204">
        <v>7538.35</v>
      </c>
      <c r="J7" s="205">
        <v>40164</v>
      </c>
      <c r="K7" s="206">
        <v>31</v>
      </c>
      <c r="L7" s="204">
        <v>182281.94</v>
      </c>
      <c r="M7" s="204">
        <v>32191.03</v>
      </c>
      <c r="N7" s="205">
        <v>214472.97</v>
      </c>
      <c r="O7" s="206">
        <v>114</v>
      </c>
      <c r="P7" s="204">
        <v>447980.98000000004</v>
      </c>
      <c r="Q7" s="204">
        <v>63594.35</v>
      </c>
      <c r="R7" s="207">
        <v>511575.32999999996</v>
      </c>
      <c r="S7" s="82"/>
      <c r="T7" s="82"/>
    </row>
    <row r="8" spans="1:20" ht="15.75" x14ac:dyDescent="0.3">
      <c r="A8" s="201" t="s">
        <v>904</v>
      </c>
      <c r="B8" s="202" t="s">
        <v>135</v>
      </c>
      <c r="C8" s="203">
        <v>75</v>
      </c>
      <c r="D8" s="204">
        <v>243490.88999999998</v>
      </c>
      <c r="E8" s="204">
        <v>20775.71</v>
      </c>
      <c r="F8" s="205">
        <v>264266.59999999998</v>
      </c>
      <c r="G8" s="206">
        <v>7</v>
      </c>
      <c r="H8" s="204">
        <v>32107.639999999992</v>
      </c>
      <c r="I8" s="204">
        <v>3133.04</v>
      </c>
      <c r="J8" s="205">
        <v>35240.679999999993</v>
      </c>
      <c r="K8" s="206">
        <v>30</v>
      </c>
      <c r="L8" s="204">
        <v>192408.55000000002</v>
      </c>
      <c r="M8" s="204">
        <v>17351.5</v>
      </c>
      <c r="N8" s="205">
        <v>209760.05000000002</v>
      </c>
      <c r="O8" s="206">
        <v>112</v>
      </c>
      <c r="P8" s="204">
        <v>468007.07999999996</v>
      </c>
      <c r="Q8" s="204">
        <v>41260.25</v>
      </c>
      <c r="R8" s="207">
        <v>509267.32999999996</v>
      </c>
      <c r="S8" s="82"/>
      <c r="T8" s="82"/>
    </row>
    <row r="9" spans="1:20" ht="15.75" x14ac:dyDescent="0.3">
      <c r="A9" s="201" t="s">
        <v>905</v>
      </c>
      <c r="B9" s="202" t="s">
        <v>135</v>
      </c>
      <c r="C9" s="203">
        <v>76</v>
      </c>
      <c r="D9" s="204">
        <v>230571.48999999996</v>
      </c>
      <c r="E9" s="204">
        <v>20250.099999999999</v>
      </c>
      <c r="F9" s="205">
        <v>250821.58999999997</v>
      </c>
      <c r="G9" s="206">
        <v>6</v>
      </c>
      <c r="H9" s="204">
        <v>28076.14</v>
      </c>
      <c r="I9" s="204">
        <v>2348.73</v>
      </c>
      <c r="J9" s="205">
        <v>30424.87</v>
      </c>
      <c r="K9" s="206">
        <v>30</v>
      </c>
      <c r="L9" s="204">
        <v>186083.96</v>
      </c>
      <c r="M9" s="204">
        <v>17025.87</v>
      </c>
      <c r="N9" s="205">
        <v>203109.83</v>
      </c>
      <c r="O9" s="206">
        <v>112</v>
      </c>
      <c r="P9" s="204">
        <v>444731.58999999997</v>
      </c>
      <c r="Q9" s="204">
        <v>39624.699999999997</v>
      </c>
      <c r="R9" s="207">
        <v>484356.28999999992</v>
      </c>
      <c r="S9" s="82"/>
      <c r="T9" s="82"/>
    </row>
    <row r="10" spans="1:20" ht="15.75" x14ac:dyDescent="0.3">
      <c r="A10" s="201" t="s">
        <v>906</v>
      </c>
      <c r="B10" s="202" t="s">
        <v>135</v>
      </c>
      <c r="C10" s="203">
        <v>71</v>
      </c>
      <c r="D10" s="204">
        <v>240902.93</v>
      </c>
      <c r="E10" s="204">
        <v>24784.5</v>
      </c>
      <c r="F10" s="205">
        <v>265687.43</v>
      </c>
      <c r="G10" s="206">
        <v>7</v>
      </c>
      <c r="H10" s="204">
        <v>31113.999999999996</v>
      </c>
      <c r="I10" s="204">
        <v>2816.59</v>
      </c>
      <c r="J10" s="205">
        <v>33930.589999999997</v>
      </c>
      <c r="K10" s="206">
        <v>35</v>
      </c>
      <c r="L10" s="204">
        <v>201779.98</v>
      </c>
      <c r="M10" s="204">
        <v>19454.93</v>
      </c>
      <c r="N10" s="205">
        <v>221234.91</v>
      </c>
      <c r="O10" s="206">
        <v>113</v>
      </c>
      <c r="P10" s="204">
        <v>473796.91000000003</v>
      </c>
      <c r="Q10" s="204">
        <v>47056.020000000004</v>
      </c>
      <c r="R10" s="207">
        <v>520852.93000000005</v>
      </c>
      <c r="S10" s="82"/>
      <c r="T10" s="82"/>
    </row>
    <row r="11" spans="1:20" ht="15.75" x14ac:dyDescent="0.3">
      <c r="A11" s="201" t="s">
        <v>909</v>
      </c>
      <c r="B11" s="202" t="s">
        <v>135</v>
      </c>
      <c r="C11" s="203">
        <v>72</v>
      </c>
      <c r="D11" s="204">
        <v>257195.77999999991</v>
      </c>
      <c r="E11" s="204">
        <v>21192.45</v>
      </c>
      <c r="F11" s="205">
        <v>278388.22999999992</v>
      </c>
      <c r="G11" s="206">
        <v>7</v>
      </c>
      <c r="H11" s="204">
        <v>33944.82</v>
      </c>
      <c r="I11" s="204">
        <v>3204.89</v>
      </c>
      <c r="J11" s="205">
        <v>37149.71</v>
      </c>
      <c r="K11" s="206">
        <v>36</v>
      </c>
      <c r="L11" s="204">
        <v>203242.48</v>
      </c>
      <c r="M11" s="204">
        <v>19799.77</v>
      </c>
      <c r="N11" s="205">
        <v>223042.25</v>
      </c>
      <c r="O11" s="206">
        <v>115</v>
      </c>
      <c r="P11" s="204">
        <v>494383.07999999996</v>
      </c>
      <c r="Q11" s="204">
        <v>44197.11</v>
      </c>
      <c r="R11" s="207">
        <v>538580.18999999994</v>
      </c>
      <c r="S11" s="82"/>
      <c r="T11" s="82"/>
    </row>
    <row r="12" spans="1:20" ht="15.75" x14ac:dyDescent="0.3">
      <c r="A12" s="201" t="s">
        <v>910</v>
      </c>
      <c r="B12" s="202" t="s">
        <v>135</v>
      </c>
      <c r="C12" s="203">
        <v>72</v>
      </c>
      <c r="D12" s="204">
        <v>265869.57999999996</v>
      </c>
      <c r="E12" s="204">
        <v>27738.2</v>
      </c>
      <c r="F12" s="205">
        <v>293607.77999999997</v>
      </c>
      <c r="G12" s="206">
        <v>7</v>
      </c>
      <c r="H12" s="204">
        <v>35529.43</v>
      </c>
      <c r="I12" s="204">
        <v>3436.43</v>
      </c>
      <c r="J12" s="205">
        <v>38965.86</v>
      </c>
      <c r="K12" s="206">
        <v>35</v>
      </c>
      <c r="L12" s="204">
        <v>198923.85</v>
      </c>
      <c r="M12" s="204">
        <v>18822.259999999998</v>
      </c>
      <c r="N12" s="205">
        <v>217746.11000000002</v>
      </c>
      <c r="O12" s="206">
        <v>114</v>
      </c>
      <c r="P12" s="204">
        <v>500322.86</v>
      </c>
      <c r="Q12" s="204">
        <v>49996.89</v>
      </c>
      <c r="R12" s="207">
        <v>550319.75</v>
      </c>
      <c r="S12" s="82"/>
      <c r="T12" s="82"/>
    </row>
    <row r="13" spans="1:20" ht="15.75" x14ac:dyDescent="0.3">
      <c r="A13" s="201" t="s">
        <v>911</v>
      </c>
      <c r="B13" s="202" t="s">
        <v>135</v>
      </c>
      <c r="C13" s="203">
        <v>73</v>
      </c>
      <c r="D13" s="204">
        <v>260691.90999999997</v>
      </c>
      <c r="E13" s="204">
        <v>24420.82</v>
      </c>
      <c r="F13" s="205">
        <v>285112.73</v>
      </c>
      <c r="G13" s="206">
        <v>7</v>
      </c>
      <c r="H13" s="204">
        <v>34740.959999999999</v>
      </c>
      <c r="I13" s="204">
        <v>3222.11</v>
      </c>
      <c r="J13" s="205">
        <v>37963.07</v>
      </c>
      <c r="K13" s="206">
        <v>35</v>
      </c>
      <c r="L13" s="204">
        <v>206354.63999999998</v>
      </c>
      <c r="M13" s="204">
        <v>19125.060000000001</v>
      </c>
      <c r="N13" s="205">
        <v>225479.69999999998</v>
      </c>
      <c r="O13" s="206">
        <v>115</v>
      </c>
      <c r="P13" s="204">
        <v>501787.51</v>
      </c>
      <c r="Q13" s="204">
        <v>46767.990000000005</v>
      </c>
      <c r="R13" s="207">
        <v>548555.5</v>
      </c>
      <c r="S13" s="82"/>
      <c r="T13" s="82"/>
    </row>
    <row r="14" spans="1:20" ht="15.75" x14ac:dyDescent="0.3">
      <c r="A14" s="201" t="s">
        <v>912</v>
      </c>
      <c r="B14" s="202" t="s">
        <v>135</v>
      </c>
      <c r="C14" s="203">
        <v>73</v>
      </c>
      <c r="D14" s="204">
        <v>249333.42999999996</v>
      </c>
      <c r="E14" s="204">
        <v>20093.28</v>
      </c>
      <c r="F14" s="205">
        <v>269426.70999999996</v>
      </c>
      <c r="G14" s="206">
        <v>7</v>
      </c>
      <c r="H14" s="204">
        <v>35330.870000000003</v>
      </c>
      <c r="I14" s="204">
        <v>3099.14</v>
      </c>
      <c r="J14" s="205">
        <v>38430.01</v>
      </c>
      <c r="K14" s="206">
        <v>35</v>
      </c>
      <c r="L14" s="204">
        <v>198538.03</v>
      </c>
      <c r="M14" s="204">
        <v>17004.509999999998</v>
      </c>
      <c r="N14" s="205">
        <v>215542.54</v>
      </c>
      <c r="O14" s="206">
        <v>115</v>
      </c>
      <c r="P14" s="204">
        <v>483202.32999999996</v>
      </c>
      <c r="Q14" s="204">
        <v>40196.929999999993</v>
      </c>
      <c r="R14" s="207">
        <v>523399.26</v>
      </c>
      <c r="S14" s="82"/>
      <c r="T14" s="82"/>
    </row>
    <row r="15" spans="1:20" ht="15.75" x14ac:dyDescent="0.3">
      <c r="A15" s="201" t="s">
        <v>913</v>
      </c>
      <c r="B15" s="202" t="s">
        <v>135</v>
      </c>
      <c r="C15" s="203">
        <v>73</v>
      </c>
      <c r="D15" s="204">
        <v>157377.54</v>
      </c>
      <c r="E15" s="204">
        <v>43681.82</v>
      </c>
      <c r="F15" s="205">
        <v>201059.36000000002</v>
      </c>
      <c r="G15" s="206">
        <v>7</v>
      </c>
      <c r="H15" s="204">
        <v>15268.11</v>
      </c>
      <c r="I15" s="204">
        <v>3003.61</v>
      </c>
      <c r="J15" s="205">
        <v>18271.72</v>
      </c>
      <c r="K15" s="206">
        <v>35</v>
      </c>
      <c r="L15" s="204">
        <v>152088.82</v>
      </c>
      <c r="M15" s="204">
        <v>17074.650000000001</v>
      </c>
      <c r="N15" s="205">
        <v>169163.47</v>
      </c>
      <c r="O15" s="206">
        <v>115</v>
      </c>
      <c r="P15" s="204">
        <v>324734.47000000003</v>
      </c>
      <c r="Q15" s="204">
        <v>63760.08</v>
      </c>
      <c r="R15" s="207">
        <v>388494.55000000005</v>
      </c>
      <c r="T15" s="82"/>
    </row>
    <row r="18" spans="1:20" x14ac:dyDescent="0.3">
      <c r="B18" t="s">
        <v>114</v>
      </c>
      <c r="C18" t="s">
        <v>115</v>
      </c>
      <c r="D18" t="s">
        <v>116</v>
      </c>
      <c r="E18" t="s">
        <v>117</v>
      </c>
      <c r="F18" t="s">
        <v>118</v>
      </c>
      <c r="G18" t="s">
        <v>119</v>
      </c>
      <c r="H18" t="s">
        <v>120</v>
      </c>
      <c r="I18" t="s">
        <v>121</v>
      </c>
      <c r="J18" t="s">
        <v>122</v>
      </c>
      <c r="K18" t="s">
        <v>123</v>
      </c>
      <c r="L18" t="s">
        <v>124</v>
      </c>
      <c r="M18" t="s">
        <v>125</v>
      </c>
      <c r="N18" t="s">
        <v>54</v>
      </c>
    </row>
    <row r="19" spans="1:20" x14ac:dyDescent="0.3">
      <c r="A19" t="s">
        <v>107</v>
      </c>
      <c r="B19" s="82">
        <f>F4</f>
        <v>275605.23999999993</v>
      </c>
      <c r="C19" s="82">
        <f>F5</f>
        <v>268845.06</v>
      </c>
      <c r="D19" s="82">
        <f>F6</f>
        <v>272739.52</v>
      </c>
      <c r="E19" s="82">
        <f>F7</f>
        <v>256938.36000000002</v>
      </c>
      <c r="F19" s="82">
        <f>F8</f>
        <v>264266.59999999998</v>
      </c>
      <c r="G19" s="82">
        <f>F9</f>
        <v>250821.58999999997</v>
      </c>
      <c r="H19" s="82">
        <f>F10</f>
        <v>265687.43</v>
      </c>
      <c r="I19" s="82">
        <f>F11</f>
        <v>278388.22999999992</v>
      </c>
      <c r="J19" s="82">
        <f>F12</f>
        <v>293607.77999999997</v>
      </c>
      <c r="K19" s="82">
        <f>F13</f>
        <v>285112.73</v>
      </c>
      <c r="L19" s="82">
        <f>F14</f>
        <v>269426.70999999996</v>
      </c>
      <c r="M19" s="82">
        <f>F15</f>
        <v>201059.36000000002</v>
      </c>
      <c r="N19" s="82">
        <f>SUM(B19:M19)</f>
        <v>3182498.6099999989</v>
      </c>
    </row>
    <row r="20" spans="1:20" x14ac:dyDescent="0.3">
      <c r="A20" t="s">
        <v>151</v>
      </c>
      <c r="B20" s="82">
        <f>J4</f>
        <v>39712.15</v>
      </c>
      <c r="C20" s="82">
        <f>J5</f>
        <v>39813.240000000005</v>
      </c>
      <c r="D20" s="82">
        <f>J6</f>
        <v>39633.559999999903</v>
      </c>
      <c r="E20" s="82">
        <f>J7</f>
        <v>40164</v>
      </c>
      <c r="F20" s="82">
        <f>J8</f>
        <v>35240.679999999993</v>
      </c>
      <c r="G20" s="82">
        <f>J9</f>
        <v>30424.87</v>
      </c>
      <c r="H20" s="82">
        <f>J10</f>
        <v>33930.589999999997</v>
      </c>
      <c r="I20" s="82">
        <f>J11</f>
        <v>37149.71</v>
      </c>
      <c r="J20" s="82">
        <f>J12</f>
        <v>38965.86</v>
      </c>
      <c r="K20" s="82">
        <f>J13</f>
        <v>37963.07</v>
      </c>
      <c r="L20" s="82">
        <f>J14</f>
        <v>38430.01</v>
      </c>
      <c r="M20" s="82">
        <f>J15</f>
        <v>18271.72</v>
      </c>
      <c r="N20" s="82">
        <f t="shared" ref="N20:N21" si="0">SUM(B20:M20)</f>
        <v>429699.45999999996</v>
      </c>
    </row>
    <row r="21" spans="1:20" x14ac:dyDescent="0.3">
      <c r="A21" t="s">
        <v>511</v>
      </c>
      <c r="B21" s="82">
        <f>N4</f>
        <v>221724.15000000002</v>
      </c>
      <c r="C21" s="82">
        <f>N5</f>
        <v>217723.08</v>
      </c>
      <c r="D21" s="82">
        <f>N6</f>
        <v>179948.92</v>
      </c>
      <c r="E21" s="82">
        <f>N7</f>
        <v>214472.97</v>
      </c>
      <c r="F21" s="82">
        <f>N8</f>
        <v>209760.05000000002</v>
      </c>
      <c r="G21" s="82">
        <f>N9</f>
        <v>203109.83</v>
      </c>
      <c r="H21" s="82">
        <f>N10</f>
        <v>221234.91</v>
      </c>
      <c r="I21" s="82">
        <f>N11</f>
        <v>223042.25</v>
      </c>
      <c r="J21" s="82">
        <f>N12</f>
        <v>217746.11000000002</v>
      </c>
      <c r="K21" s="82">
        <f>N13</f>
        <v>225479.69999999998</v>
      </c>
      <c r="L21" s="82">
        <f>N14</f>
        <v>215542.54</v>
      </c>
      <c r="M21" s="82">
        <f>N15</f>
        <v>169163.47</v>
      </c>
      <c r="N21" s="82">
        <f t="shared" si="0"/>
        <v>2518947.9800000004</v>
      </c>
    </row>
    <row r="22" spans="1:20" x14ac:dyDescent="0.3">
      <c r="N22" s="82"/>
    </row>
    <row r="23" spans="1:20" x14ac:dyDescent="0.3">
      <c r="B23" s="82">
        <f>SUM(B19:B22)</f>
        <v>537041.54</v>
      </c>
      <c r="C23" s="82">
        <f t="shared" ref="C23:L23" si="1">SUM(C19:C22)</f>
        <v>526381.38</v>
      </c>
      <c r="D23" s="82">
        <f t="shared" si="1"/>
        <v>492321.99999999988</v>
      </c>
      <c r="E23" s="82">
        <f t="shared" si="1"/>
        <v>511575.32999999996</v>
      </c>
      <c r="F23" s="82">
        <f t="shared" si="1"/>
        <v>509267.32999999996</v>
      </c>
      <c r="G23" s="82">
        <f t="shared" si="1"/>
        <v>484356.28999999992</v>
      </c>
      <c r="H23" s="82">
        <f t="shared" si="1"/>
        <v>520852.93000000005</v>
      </c>
      <c r="I23" s="82">
        <f t="shared" si="1"/>
        <v>538580.18999999994</v>
      </c>
      <c r="J23" s="82">
        <f t="shared" si="1"/>
        <v>550319.75</v>
      </c>
      <c r="K23" s="82">
        <f t="shared" si="1"/>
        <v>548555.5</v>
      </c>
      <c r="L23" s="82">
        <f t="shared" si="1"/>
        <v>523399.26</v>
      </c>
      <c r="M23" s="82">
        <f>SUM(M19:M22)</f>
        <v>388494.55000000005</v>
      </c>
      <c r="N23" s="82">
        <f t="shared" ref="N23" si="2">SUM(B23:M23)</f>
        <v>6131146.0499999998</v>
      </c>
    </row>
    <row r="24" spans="1:20" ht="15.75" thickBot="1" x14ac:dyDescent="0.35"/>
    <row r="25" spans="1:20" ht="15.75" x14ac:dyDescent="0.3">
      <c r="A25" s="181"/>
      <c r="B25" s="196"/>
      <c r="C25" s="332" t="s">
        <v>107</v>
      </c>
      <c r="D25" s="333"/>
      <c r="E25" s="333"/>
      <c r="F25" s="334"/>
      <c r="G25" s="332" t="s">
        <v>151</v>
      </c>
      <c r="H25" s="335"/>
      <c r="I25" s="335"/>
      <c r="J25" s="336"/>
      <c r="K25" s="332" t="s">
        <v>506</v>
      </c>
      <c r="L25" s="335"/>
      <c r="M25" s="335"/>
      <c r="N25" s="336"/>
      <c r="O25" s="332" t="s">
        <v>140</v>
      </c>
      <c r="P25" s="335"/>
      <c r="Q25" s="335"/>
      <c r="R25" s="336"/>
    </row>
    <row r="26" spans="1:20" ht="30.75" x14ac:dyDescent="0.3">
      <c r="A26" s="197" t="s">
        <v>285</v>
      </c>
      <c r="B26" s="198"/>
      <c r="C26" s="199" t="s">
        <v>507</v>
      </c>
      <c r="D26" s="197" t="s">
        <v>508</v>
      </c>
      <c r="E26" s="197" t="s">
        <v>509</v>
      </c>
      <c r="F26" s="200" t="s">
        <v>140</v>
      </c>
      <c r="G26" s="199" t="s">
        <v>507</v>
      </c>
      <c r="H26" s="197" t="s">
        <v>508</v>
      </c>
      <c r="I26" s="197" t="s">
        <v>509</v>
      </c>
      <c r="J26" s="200" t="s">
        <v>140</v>
      </c>
      <c r="K26" s="199" t="s">
        <v>507</v>
      </c>
      <c r="L26" s="197" t="s">
        <v>508</v>
      </c>
      <c r="M26" s="197" t="s">
        <v>509</v>
      </c>
      <c r="N26" s="200" t="s">
        <v>140</v>
      </c>
      <c r="O26" s="199" t="s">
        <v>507</v>
      </c>
      <c r="P26" s="197" t="s">
        <v>508</v>
      </c>
      <c r="Q26" s="197" t="s">
        <v>509</v>
      </c>
      <c r="R26" s="200" t="s">
        <v>140</v>
      </c>
      <c r="T26" s="208" t="s">
        <v>510</v>
      </c>
    </row>
    <row r="27" spans="1:20" ht="15.75" x14ac:dyDescent="0.3">
      <c r="A27" s="222" t="s">
        <v>923</v>
      </c>
      <c r="B27" s="202" t="s">
        <v>135</v>
      </c>
      <c r="C27" s="203">
        <v>72</v>
      </c>
      <c r="D27" s="204">
        <v>270553.52</v>
      </c>
      <c r="E27" s="204">
        <v>21715.94</v>
      </c>
      <c r="F27" s="205">
        <v>292269.46000000002</v>
      </c>
      <c r="G27" s="206">
        <v>7</v>
      </c>
      <c r="H27" s="204">
        <v>34303.11</v>
      </c>
      <c r="I27" s="204">
        <v>3003.61</v>
      </c>
      <c r="J27" s="205">
        <v>37306.720000000001</v>
      </c>
      <c r="K27" s="206">
        <v>34</v>
      </c>
      <c r="L27" s="204">
        <v>203222.82</v>
      </c>
      <c r="M27" s="204">
        <v>17422.16</v>
      </c>
      <c r="N27" s="205">
        <v>220644.98</v>
      </c>
      <c r="O27" s="206">
        <v>113</v>
      </c>
      <c r="P27" s="204">
        <v>508079.45</v>
      </c>
      <c r="Q27" s="204">
        <v>42141.71</v>
      </c>
      <c r="R27" s="207">
        <v>550221.16</v>
      </c>
      <c r="S27" s="82"/>
      <c r="T27" s="82">
        <f>SUM('Input TB'!$G$89:$G$94)-R27</f>
        <v>3789.5</v>
      </c>
    </row>
    <row r="28" spans="1:20" ht="15.75" x14ac:dyDescent="0.3">
      <c r="A28" s="201" t="s">
        <v>924</v>
      </c>
      <c r="B28" s="202" t="s">
        <v>135</v>
      </c>
      <c r="C28" s="203">
        <v>72</v>
      </c>
      <c r="D28" s="204">
        <v>255511.47</v>
      </c>
      <c r="E28" s="204">
        <v>22497.35</v>
      </c>
      <c r="F28" s="205">
        <v>278008.82</v>
      </c>
      <c r="G28" s="206">
        <v>7</v>
      </c>
      <c r="H28" s="204">
        <v>34276.14</v>
      </c>
      <c r="I28" s="204">
        <v>3003.61</v>
      </c>
      <c r="J28" s="205">
        <v>37279.75</v>
      </c>
      <c r="K28" s="206">
        <v>34</v>
      </c>
      <c r="L28" s="204">
        <v>194773.3</v>
      </c>
      <c r="M28" s="204">
        <v>16564.740000000002</v>
      </c>
      <c r="N28" s="205">
        <v>211338.03999999998</v>
      </c>
      <c r="O28" s="206">
        <v>113</v>
      </c>
      <c r="P28" s="204">
        <v>484560.91</v>
      </c>
      <c r="Q28" s="204">
        <v>42065.7</v>
      </c>
      <c r="R28" s="207">
        <v>526626.61</v>
      </c>
      <c r="S28" s="82"/>
      <c r="T28" s="82">
        <f>SUM('Input TB'!$H$89:$H$94)-R28</f>
        <v>64492.649999999907</v>
      </c>
    </row>
    <row r="29" spans="1:20" ht="15.75" x14ac:dyDescent="0.3">
      <c r="A29" s="244" t="s">
        <v>925</v>
      </c>
      <c r="B29" s="202" t="s">
        <v>135</v>
      </c>
      <c r="C29" s="203">
        <v>74</v>
      </c>
      <c r="D29" s="204">
        <v>279926.99000000005</v>
      </c>
      <c r="E29" s="204">
        <v>27180.95</v>
      </c>
      <c r="F29" s="205">
        <v>307107.94000000006</v>
      </c>
      <c r="G29" s="206">
        <v>7</v>
      </c>
      <c r="H29" s="204">
        <v>34276.14</v>
      </c>
      <c r="I29" s="204">
        <v>3003.61</v>
      </c>
      <c r="J29" s="205">
        <v>37279.75</v>
      </c>
      <c r="K29" s="206">
        <v>34</v>
      </c>
      <c r="L29" s="204">
        <v>197833.99999999997</v>
      </c>
      <c r="M29" s="204">
        <v>16814.72</v>
      </c>
      <c r="N29" s="205">
        <v>214648.71999999997</v>
      </c>
      <c r="O29" s="206">
        <v>115</v>
      </c>
      <c r="P29" s="204">
        <v>512037.13</v>
      </c>
      <c r="Q29" s="204">
        <v>46999.28</v>
      </c>
      <c r="R29" s="207">
        <v>559036.41</v>
      </c>
      <c r="S29" s="82"/>
      <c r="T29" s="82">
        <f>SUM('Input TB'!$I$89:$I$94)-R29</f>
        <v>85563.329999999958</v>
      </c>
    </row>
    <row r="30" spans="1:20" ht="15.75" x14ac:dyDescent="0.3">
      <c r="A30" s="201" t="s">
        <v>926</v>
      </c>
      <c r="B30" s="202" t="s">
        <v>135</v>
      </c>
      <c r="C30" s="203">
        <v>74</v>
      </c>
      <c r="D30" s="204">
        <v>261559.64999999997</v>
      </c>
      <c r="E30" s="204">
        <v>23308.95</v>
      </c>
      <c r="F30" s="205">
        <v>284868.59999999998</v>
      </c>
      <c r="G30" s="206">
        <v>7</v>
      </c>
      <c r="H30" s="204">
        <v>36117.11</v>
      </c>
      <c r="I30" s="204">
        <v>3007.14</v>
      </c>
      <c r="J30" s="205">
        <v>39124.25</v>
      </c>
      <c r="K30" s="206">
        <v>35</v>
      </c>
      <c r="L30" s="204">
        <v>201572.09</v>
      </c>
      <c r="M30" s="204">
        <v>17374.849999999999</v>
      </c>
      <c r="N30" s="205">
        <v>218946.94</v>
      </c>
      <c r="O30" s="206">
        <v>116</v>
      </c>
      <c r="P30" s="204">
        <v>499248.85</v>
      </c>
      <c r="Q30" s="204">
        <v>43690.94</v>
      </c>
      <c r="R30" s="207">
        <v>542939.79</v>
      </c>
      <c r="S30" s="82"/>
      <c r="T30" s="82">
        <f>SUM('Input TB'!$J$89:$J$94)-R30</f>
        <v>-97224.380000000063</v>
      </c>
    </row>
    <row r="31" spans="1:20" ht="15.75" x14ac:dyDescent="0.3">
      <c r="A31" s="244" t="s">
        <v>927</v>
      </c>
      <c r="B31" s="202" t="s">
        <v>135</v>
      </c>
      <c r="C31" s="203">
        <v>73</v>
      </c>
      <c r="D31" s="204">
        <v>285037.44</v>
      </c>
      <c r="E31" s="204">
        <v>23395.52</v>
      </c>
      <c r="F31" s="205">
        <v>308432.96000000002</v>
      </c>
      <c r="G31" s="206">
        <v>7</v>
      </c>
      <c r="H31" s="204">
        <v>24032.429999999993</v>
      </c>
      <c r="I31" s="204">
        <v>9362.49</v>
      </c>
      <c r="J31" s="205">
        <v>33394.919999999991</v>
      </c>
      <c r="K31" s="206">
        <v>35</v>
      </c>
      <c r="L31" s="204">
        <v>160888.48000000004</v>
      </c>
      <c r="M31" s="204">
        <v>57560.49</v>
      </c>
      <c r="N31" s="205">
        <v>218448.97000000003</v>
      </c>
      <c r="O31" s="206">
        <v>115</v>
      </c>
      <c r="P31" s="204">
        <v>469958.35000000003</v>
      </c>
      <c r="Q31" s="204">
        <v>90318.5</v>
      </c>
      <c r="R31" s="207">
        <v>560276.85000000009</v>
      </c>
      <c r="S31" s="82"/>
      <c r="T31" s="82">
        <f>SUM('Input TB'!$K$89:$K$94)-R31</f>
        <v>42359.939999999828</v>
      </c>
    </row>
    <row r="32" spans="1:20" ht="15.75" x14ac:dyDescent="0.3">
      <c r="A32" s="222" t="s">
        <v>928</v>
      </c>
      <c r="B32" s="202" t="s">
        <v>135</v>
      </c>
      <c r="C32" s="203">
        <v>71</v>
      </c>
      <c r="D32" s="204">
        <v>300714.99</v>
      </c>
      <c r="E32" s="204">
        <v>29863.47</v>
      </c>
      <c r="F32" s="205">
        <v>330578.45999999996</v>
      </c>
      <c r="G32" s="206">
        <v>6</v>
      </c>
      <c r="H32" s="204">
        <v>56175.14</v>
      </c>
      <c r="I32" s="204">
        <v>4583.5200000000004</v>
      </c>
      <c r="J32" s="205">
        <v>60758.66</v>
      </c>
      <c r="K32" s="206">
        <v>34</v>
      </c>
      <c r="L32" s="204">
        <v>196065.87</v>
      </c>
      <c r="M32" s="204">
        <v>27764.61</v>
      </c>
      <c r="N32" s="205">
        <v>223830.47999999998</v>
      </c>
      <c r="O32" s="206">
        <v>111</v>
      </c>
      <c r="P32" s="204">
        <v>552956</v>
      </c>
      <c r="Q32" s="204">
        <v>62211.600000000006</v>
      </c>
      <c r="R32" s="207">
        <v>615167.6</v>
      </c>
      <c r="S32" s="82"/>
      <c r="T32" s="82">
        <f>SUM('Input TB'!$L$89:$L$94)-R32</f>
        <v>-34539.689999999944</v>
      </c>
    </row>
    <row r="33" spans="1:20" ht="15.75" x14ac:dyDescent="0.3">
      <c r="A33" s="222" t="s">
        <v>929</v>
      </c>
      <c r="B33" s="202" t="s">
        <v>135</v>
      </c>
      <c r="C33" s="203">
        <v>70</v>
      </c>
      <c r="D33" s="204">
        <v>292377.41000000003</v>
      </c>
      <c r="E33" s="204">
        <v>26729</v>
      </c>
      <c r="F33" s="205">
        <v>319106.41000000003</v>
      </c>
      <c r="G33" s="206">
        <v>6</v>
      </c>
      <c r="H33" s="204">
        <v>37886.109999999993</v>
      </c>
      <c r="I33" s="204">
        <v>3307.89</v>
      </c>
      <c r="J33" s="205">
        <v>41193.999999999993</v>
      </c>
      <c r="K33" s="206">
        <v>34</v>
      </c>
      <c r="L33" s="204">
        <v>227230.99000000002</v>
      </c>
      <c r="M33" s="204">
        <v>20377.25</v>
      </c>
      <c r="N33" s="205">
        <v>247608.24000000002</v>
      </c>
      <c r="O33" s="206">
        <v>110</v>
      </c>
      <c r="P33" s="204">
        <v>557494.51</v>
      </c>
      <c r="Q33" s="204">
        <v>50414.14</v>
      </c>
      <c r="R33" s="207">
        <v>607908.65</v>
      </c>
      <c r="S33" s="82"/>
      <c r="T33" s="82">
        <f>SUM('Input TB'!$M$89:$M$94)-R33</f>
        <v>-26776.060000000056</v>
      </c>
    </row>
    <row r="34" spans="1:20" ht="15.75" x14ac:dyDescent="0.3">
      <c r="A34" s="244" t="s">
        <v>930</v>
      </c>
      <c r="B34" s="202" t="s">
        <v>135</v>
      </c>
      <c r="C34" s="203">
        <v>70</v>
      </c>
      <c r="D34" s="204">
        <v>277536.18</v>
      </c>
      <c r="E34" s="204">
        <v>22896.1</v>
      </c>
      <c r="F34" s="205">
        <v>300432.27999999997</v>
      </c>
      <c r="G34" s="206">
        <v>6</v>
      </c>
      <c r="H34" s="204">
        <v>36569.4</v>
      </c>
      <c r="I34" s="204">
        <v>3307.89</v>
      </c>
      <c r="J34" s="205">
        <v>39877.29</v>
      </c>
      <c r="K34" s="206">
        <v>35</v>
      </c>
      <c r="L34" s="204">
        <v>238316.53999999998</v>
      </c>
      <c r="M34" s="204">
        <v>21467.119999999999</v>
      </c>
      <c r="N34" s="205">
        <v>259783.65999999997</v>
      </c>
      <c r="O34" s="206">
        <v>111</v>
      </c>
      <c r="P34" s="204">
        <v>552422.12</v>
      </c>
      <c r="Q34" s="204">
        <v>47671.11</v>
      </c>
      <c r="R34" s="207">
        <v>600093.23</v>
      </c>
      <c r="S34" s="82"/>
      <c r="T34" s="82">
        <f>SUM('Input TB'!$N$89:$N$94)-R34</f>
        <v>11343.890000000014</v>
      </c>
    </row>
    <row r="35" spans="1:20" ht="15.75" x14ac:dyDescent="0.3">
      <c r="A35" s="201" t="s">
        <v>931</v>
      </c>
      <c r="B35" s="202" t="s">
        <v>135</v>
      </c>
      <c r="C35" s="203">
        <v>70</v>
      </c>
      <c r="D35" s="204">
        <v>289408.76</v>
      </c>
      <c r="E35" s="204">
        <v>30098.3</v>
      </c>
      <c r="F35" s="205">
        <v>319507.06</v>
      </c>
      <c r="G35" s="206">
        <v>7</v>
      </c>
      <c r="H35" s="204">
        <v>36569.4</v>
      </c>
      <c r="I35" s="204">
        <v>3307.89</v>
      </c>
      <c r="J35" s="205">
        <v>39877.29</v>
      </c>
      <c r="K35" s="206">
        <v>37</v>
      </c>
      <c r="L35" s="204">
        <v>233193.97999999998</v>
      </c>
      <c r="M35" s="204">
        <v>21240.54</v>
      </c>
      <c r="N35" s="205">
        <v>254434.52</v>
      </c>
      <c r="O35" s="206">
        <v>114</v>
      </c>
      <c r="P35" s="204">
        <v>559172.14</v>
      </c>
      <c r="Q35" s="204">
        <v>54646.73</v>
      </c>
      <c r="R35" s="207">
        <v>613818.87</v>
      </c>
      <c r="S35" s="82"/>
      <c r="T35" s="82">
        <f>SUM('Input TB'!$O$89:$O$94)-R35</f>
        <v>-56771.540000000037</v>
      </c>
    </row>
    <row r="36" spans="1:20" ht="15.75" x14ac:dyDescent="0.3">
      <c r="A36" s="244" t="s">
        <v>932</v>
      </c>
      <c r="B36" s="202" t="s">
        <v>135</v>
      </c>
      <c r="C36" s="203">
        <v>70</v>
      </c>
      <c r="D36" s="204">
        <v>271212.45999999996</v>
      </c>
      <c r="E36" s="204">
        <v>23576.05</v>
      </c>
      <c r="F36" s="205">
        <v>294788.50999999995</v>
      </c>
      <c r="G36" s="206">
        <v>7</v>
      </c>
      <c r="H36" s="204">
        <v>36931.420000000006</v>
      </c>
      <c r="I36" s="204">
        <v>3307.89</v>
      </c>
      <c r="J36" s="205">
        <v>40239.310000000005</v>
      </c>
      <c r="K36" s="206">
        <v>37</v>
      </c>
      <c r="L36" s="204">
        <v>236040.57</v>
      </c>
      <c r="M36" s="204">
        <v>21086.91</v>
      </c>
      <c r="N36" s="205">
        <v>257127.48</v>
      </c>
      <c r="O36" s="206">
        <v>114</v>
      </c>
      <c r="P36" s="204">
        <v>544184.44999999995</v>
      </c>
      <c r="Q36" s="204">
        <v>47970.85</v>
      </c>
      <c r="R36" s="207">
        <v>592155.29999999993</v>
      </c>
      <c r="S36" s="82"/>
      <c r="T36" s="82">
        <f>SUM('Input TB'!$P$89:$P$94)-R36</f>
        <v>-213698.05999999994</v>
      </c>
    </row>
    <row r="37" spans="1:20" ht="15.75" x14ac:dyDescent="0.3">
      <c r="A37" s="244" t="s">
        <v>933</v>
      </c>
      <c r="B37" s="202" t="s">
        <v>135</v>
      </c>
      <c r="C37" s="203">
        <v>73</v>
      </c>
      <c r="D37" s="204">
        <v>263900.18</v>
      </c>
      <c r="E37" s="204">
        <v>22410.91</v>
      </c>
      <c r="F37" s="205">
        <v>286311.08999999997</v>
      </c>
      <c r="G37" s="206">
        <v>8</v>
      </c>
      <c r="H37" s="204">
        <v>36569.4</v>
      </c>
      <c r="I37" s="204">
        <v>3307.89</v>
      </c>
      <c r="J37" s="205">
        <v>39877.29</v>
      </c>
      <c r="K37" s="206">
        <v>37</v>
      </c>
      <c r="L37" s="204">
        <v>230298.85</v>
      </c>
      <c r="M37" s="204">
        <v>20920.990000000002</v>
      </c>
      <c r="N37" s="205">
        <v>251219.84</v>
      </c>
      <c r="O37" s="206">
        <v>118</v>
      </c>
      <c r="P37" s="204">
        <v>530768.43000000005</v>
      </c>
      <c r="Q37" s="204">
        <v>46639.79</v>
      </c>
      <c r="R37" s="207">
        <v>577408.22</v>
      </c>
      <c r="S37" s="82"/>
      <c r="T37" s="82">
        <f>SUM('Input TB'!$Q$89:$Q$94)-R37</f>
        <v>12514.880000000005</v>
      </c>
    </row>
    <row r="38" spans="1:20" ht="15.75" x14ac:dyDescent="0.3">
      <c r="A38" s="201" t="s">
        <v>934</v>
      </c>
      <c r="B38" s="202" t="s">
        <v>135</v>
      </c>
      <c r="C38" s="203">
        <v>78</v>
      </c>
      <c r="D38" s="204">
        <v>192919.74999999994</v>
      </c>
      <c r="E38" s="204">
        <v>45771.39</v>
      </c>
      <c r="F38" s="205">
        <v>238691.13999999996</v>
      </c>
      <c r="G38" s="206">
        <v>8</v>
      </c>
      <c r="H38" s="204">
        <v>38898.5</v>
      </c>
      <c r="I38" s="204">
        <v>3642.76</v>
      </c>
      <c r="J38" s="205">
        <v>42541.26</v>
      </c>
      <c r="K38" s="206">
        <v>35</v>
      </c>
      <c r="L38" s="204">
        <v>295838.05</v>
      </c>
      <c r="M38" s="204">
        <v>21640.63</v>
      </c>
      <c r="N38" s="205">
        <v>317478.68</v>
      </c>
      <c r="O38" s="206">
        <v>121</v>
      </c>
      <c r="P38" s="204">
        <v>527656.29999999993</v>
      </c>
      <c r="Q38" s="204">
        <v>71054.78</v>
      </c>
      <c r="R38" s="207">
        <v>598711.07999999996</v>
      </c>
      <c r="S38" s="82"/>
      <c r="T38" s="82">
        <f>SUM('Input TB'!$R$89:$R$94)-R38</f>
        <v>-63032.939999999944</v>
      </c>
    </row>
    <row r="41" spans="1:20" x14ac:dyDescent="0.3">
      <c r="B41" t="s">
        <v>114</v>
      </c>
      <c r="C41" t="s">
        <v>115</v>
      </c>
      <c r="D41" t="s">
        <v>116</v>
      </c>
      <c r="E41" t="s">
        <v>117</v>
      </c>
      <c r="F41" t="s">
        <v>118</v>
      </c>
      <c r="G41" t="s">
        <v>119</v>
      </c>
      <c r="H41" t="s">
        <v>120</v>
      </c>
      <c r="I41" t="s">
        <v>121</v>
      </c>
      <c r="J41" t="s">
        <v>122</v>
      </c>
      <c r="K41" t="s">
        <v>123</v>
      </c>
      <c r="L41" t="s">
        <v>124</v>
      </c>
      <c r="M41" t="s">
        <v>125</v>
      </c>
      <c r="N41" t="s">
        <v>54</v>
      </c>
    </row>
    <row r="42" spans="1:20" x14ac:dyDescent="0.3">
      <c r="A42" t="s">
        <v>107</v>
      </c>
      <c r="B42" s="82">
        <f>F27</f>
        <v>292269.46000000002</v>
      </c>
      <c r="C42" s="82">
        <f>F28</f>
        <v>278008.82</v>
      </c>
      <c r="D42" s="82">
        <f>F29</f>
        <v>307107.94000000006</v>
      </c>
      <c r="E42" s="82">
        <f>F30</f>
        <v>284868.59999999998</v>
      </c>
      <c r="F42" s="82">
        <f>F31</f>
        <v>308432.96000000002</v>
      </c>
      <c r="G42" s="82">
        <f>F32</f>
        <v>330578.45999999996</v>
      </c>
      <c r="H42" s="82">
        <f>F33</f>
        <v>319106.41000000003</v>
      </c>
      <c r="I42" s="82">
        <f>F34</f>
        <v>300432.27999999997</v>
      </c>
      <c r="J42" s="82">
        <f>F35</f>
        <v>319507.06</v>
      </c>
      <c r="K42" s="82">
        <f>F36</f>
        <v>294788.50999999995</v>
      </c>
      <c r="L42" s="82">
        <f>F37</f>
        <v>286311.08999999997</v>
      </c>
      <c r="M42" s="82">
        <f>F38</f>
        <v>238691.13999999996</v>
      </c>
      <c r="N42" s="82">
        <f>SUM(B42:M42)</f>
        <v>3560102.7299999995</v>
      </c>
    </row>
    <row r="43" spans="1:20" x14ac:dyDescent="0.3">
      <c r="A43" t="s">
        <v>151</v>
      </c>
      <c r="B43" s="82">
        <f>J27</f>
        <v>37306.720000000001</v>
      </c>
      <c r="C43" s="82">
        <f>J28</f>
        <v>37279.75</v>
      </c>
      <c r="D43" s="82">
        <f>J29</f>
        <v>37279.75</v>
      </c>
      <c r="E43" s="82">
        <f>J30</f>
        <v>39124.25</v>
      </c>
      <c r="F43" s="82">
        <f>J31</f>
        <v>33394.919999999991</v>
      </c>
      <c r="G43" s="82">
        <f>J32</f>
        <v>60758.66</v>
      </c>
      <c r="H43" s="82">
        <f>J33</f>
        <v>41193.999999999993</v>
      </c>
      <c r="I43" s="82">
        <f>J34</f>
        <v>39877.29</v>
      </c>
      <c r="J43" s="82">
        <f>J35</f>
        <v>39877.29</v>
      </c>
      <c r="K43" s="82">
        <f>J36</f>
        <v>40239.310000000005</v>
      </c>
      <c r="L43" s="82">
        <f>J37</f>
        <v>39877.29</v>
      </c>
      <c r="M43" s="82">
        <f>J38</f>
        <v>42541.26</v>
      </c>
      <c r="N43" s="82">
        <f t="shared" ref="N43:N44" si="3">SUM(B43:M43)</f>
        <v>488750.48999999993</v>
      </c>
    </row>
    <row r="44" spans="1:20" x14ac:dyDescent="0.3">
      <c r="A44" t="s">
        <v>511</v>
      </c>
      <c r="B44" s="82">
        <f>N27</f>
        <v>220644.98</v>
      </c>
      <c r="C44" s="82">
        <f>N28</f>
        <v>211338.03999999998</v>
      </c>
      <c r="D44" s="82">
        <f>N29</f>
        <v>214648.71999999997</v>
      </c>
      <c r="E44" s="82">
        <f>N30</f>
        <v>218946.94</v>
      </c>
      <c r="F44" s="82">
        <f>N31</f>
        <v>218448.97000000003</v>
      </c>
      <c r="G44" s="82">
        <f>N32</f>
        <v>223830.47999999998</v>
      </c>
      <c r="H44" s="82">
        <f>N33</f>
        <v>247608.24000000002</v>
      </c>
      <c r="I44" s="82">
        <f>N34</f>
        <v>259783.65999999997</v>
      </c>
      <c r="J44" s="82">
        <f>N35</f>
        <v>254434.52</v>
      </c>
      <c r="K44" s="82">
        <f>N36</f>
        <v>257127.48</v>
      </c>
      <c r="L44" s="82">
        <f>N37</f>
        <v>251219.84</v>
      </c>
      <c r="M44" s="82">
        <f>N38</f>
        <v>317478.68</v>
      </c>
      <c r="N44" s="82">
        <f t="shared" si="3"/>
        <v>2895510.55</v>
      </c>
    </row>
    <row r="45" spans="1:20" x14ac:dyDescent="0.3">
      <c r="N45" s="82"/>
    </row>
    <row r="46" spans="1:20" x14ac:dyDescent="0.3">
      <c r="B46" s="82">
        <f>SUM(B42:B45)</f>
        <v>550221.16</v>
      </c>
      <c r="C46" s="82">
        <f t="shared" ref="C46:L46" si="4">SUM(C42:C45)</f>
        <v>526626.61</v>
      </c>
      <c r="D46" s="82">
        <f t="shared" si="4"/>
        <v>559036.41</v>
      </c>
      <c r="E46" s="82">
        <f t="shared" si="4"/>
        <v>542939.79</v>
      </c>
      <c r="F46" s="82">
        <f t="shared" si="4"/>
        <v>560276.85000000009</v>
      </c>
      <c r="G46" s="82">
        <f t="shared" si="4"/>
        <v>615167.6</v>
      </c>
      <c r="H46" s="82">
        <f t="shared" si="4"/>
        <v>607908.65</v>
      </c>
      <c r="I46" s="82">
        <f t="shared" si="4"/>
        <v>600093.23</v>
      </c>
      <c r="J46" s="82">
        <f t="shared" si="4"/>
        <v>613818.87</v>
      </c>
      <c r="K46" s="82">
        <f t="shared" si="4"/>
        <v>592155.29999999993</v>
      </c>
      <c r="L46" s="82">
        <f t="shared" si="4"/>
        <v>577408.22</v>
      </c>
      <c r="M46" s="82">
        <f>SUM(M42:M45)</f>
        <v>598711.07999999996</v>
      </c>
      <c r="N46" s="82">
        <f t="shared" ref="N46" si="5">SUM(B46:M46)</f>
        <v>6944363.7700000005</v>
      </c>
    </row>
    <row r="47" spans="1:20" ht="15.75" thickBot="1" x14ac:dyDescent="0.35"/>
    <row r="48" spans="1:20" ht="15.75" x14ac:dyDescent="0.3">
      <c r="A48" s="181"/>
      <c r="B48" s="196"/>
      <c r="C48" s="332" t="s">
        <v>107</v>
      </c>
      <c r="D48" s="333"/>
      <c r="E48" s="333"/>
      <c r="F48" s="334"/>
      <c r="G48" s="332" t="s">
        <v>151</v>
      </c>
      <c r="H48" s="335"/>
      <c r="I48" s="335"/>
      <c r="J48" s="336"/>
      <c r="K48" s="332" t="s">
        <v>506</v>
      </c>
      <c r="L48" s="335"/>
      <c r="M48" s="335"/>
      <c r="N48" s="336"/>
      <c r="O48" s="332" t="s">
        <v>140</v>
      </c>
      <c r="P48" s="335"/>
      <c r="Q48" s="335"/>
      <c r="R48" s="336"/>
    </row>
    <row r="49" spans="1:20" ht="30.75" x14ac:dyDescent="0.3">
      <c r="A49" s="197" t="s">
        <v>285</v>
      </c>
      <c r="B49" s="198"/>
      <c r="C49" s="199" t="s">
        <v>507</v>
      </c>
      <c r="D49" s="197" t="s">
        <v>508</v>
      </c>
      <c r="E49" s="197" t="s">
        <v>509</v>
      </c>
      <c r="F49" s="200" t="s">
        <v>140</v>
      </c>
      <c r="G49" s="199" t="s">
        <v>507</v>
      </c>
      <c r="H49" s="197" t="s">
        <v>508</v>
      </c>
      <c r="I49" s="197" t="s">
        <v>509</v>
      </c>
      <c r="J49" s="200" t="s">
        <v>140</v>
      </c>
      <c r="K49" s="199" t="s">
        <v>507</v>
      </c>
      <c r="L49" s="197" t="s">
        <v>508</v>
      </c>
      <c r="M49" s="197" t="s">
        <v>509</v>
      </c>
      <c r="N49" s="200" t="s">
        <v>140</v>
      </c>
      <c r="O49" s="199" t="s">
        <v>507</v>
      </c>
      <c r="P49" s="197" t="s">
        <v>508</v>
      </c>
      <c r="Q49" s="197" t="s">
        <v>509</v>
      </c>
      <c r="R49" s="200" t="s">
        <v>140</v>
      </c>
      <c r="T49" s="208" t="s">
        <v>510</v>
      </c>
    </row>
    <row r="50" spans="1:20" ht="15.75" x14ac:dyDescent="0.3">
      <c r="A50" s="222" t="s">
        <v>979</v>
      </c>
      <c r="B50" s="202" t="s">
        <v>135</v>
      </c>
      <c r="C50" s="269">
        <v>78</v>
      </c>
      <c r="D50" s="265">
        <v>244068.56000000003</v>
      </c>
      <c r="E50" s="265">
        <v>21606.03</v>
      </c>
      <c r="F50" s="266">
        <v>265674.59000000003</v>
      </c>
      <c r="G50" s="267">
        <v>8</v>
      </c>
      <c r="H50" s="265">
        <v>32625.240000000005</v>
      </c>
      <c r="I50" s="265">
        <v>2946.17</v>
      </c>
      <c r="J50" s="266">
        <v>35571.410000000003</v>
      </c>
      <c r="K50" s="267">
        <v>35</v>
      </c>
      <c r="L50" s="265">
        <v>231470.09000000003</v>
      </c>
      <c r="M50" s="265">
        <v>21294.57</v>
      </c>
      <c r="N50" s="266">
        <v>252764.66000000003</v>
      </c>
      <c r="O50" s="267">
        <v>121</v>
      </c>
      <c r="P50" s="265">
        <v>508163.89000000007</v>
      </c>
      <c r="Q50" s="265">
        <v>45846.77</v>
      </c>
      <c r="R50" s="268">
        <v>554010.66</v>
      </c>
      <c r="S50" s="82"/>
      <c r="T50" s="82">
        <f>SUM('Input TB'!$G$89:$G$94)-R50</f>
        <v>0</v>
      </c>
    </row>
    <row r="51" spans="1:20" ht="15.75" x14ac:dyDescent="0.3">
      <c r="A51" s="222" t="s">
        <v>1026</v>
      </c>
      <c r="B51" s="202" t="s">
        <v>135</v>
      </c>
      <c r="C51" s="203">
        <v>78</v>
      </c>
      <c r="D51" s="204">
        <v>272853.93</v>
      </c>
      <c r="E51" s="204">
        <v>24243.33</v>
      </c>
      <c r="F51" s="205">
        <v>297097.26</v>
      </c>
      <c r="G51" s="206">
        <v>7</v>
      </c>
      <c r="H51" s="204">
        <v>41742.160000000003</v>
      </c>
      <c r="I51" s="204">
        <v>4014</v>
      </c>
      <c r="J51" s="205">
        <v>45756.160000000003</v>
      </c>
      <c r="K51" s="206">
        <v>35</v>
      </c>
      <c r="L51" s="204">
        <v>227391.58999999997</v>
      </c>
      <c r="M51" s="204">
        <v>20874.25</v>
      </c>
      <c r="N51" s="205">
        <v>248265.83999999997</v>
      </c>
      <c r="O51" s="206">
        <v>120</v>
      </c>
      <c r="P51" s="204">
        <v>541987.67999999993</v>
      </c>
      <c r="Q51" s="204">
        <v>49131.58</v>
      </c>
      <c r="R51" s="207">
        <v>591119.26</v>
      </c>
      <c r="S51" s="82"/>
      <c r="T51" s="82">
        <f>SUM('Input TB'!$H$89:$H$94)-R51</f>
        <v>0</v>
      </c>
    </row>
    <row r="52" spans="1:20" ht="15.75" x14ac:dyDescent="0.3">
      <c r="A52" s="222" t="s">
        <v>1027</v>
      </c>
      <c r="B52" s="202" t="s">
        <v>135</v>
      </c>
      <c r="C52" s="203">
        <v>74</v>
      </c>
      <c r="D52" s="204">
        <v>314530.37</v>
      </c>
      <c r="E52" s="204">
        <v>29381.82</v>
      </c>
      <c r="F52" s="205">
        <f t="shared" ref="F52:F61" si="6">SUM(D52:E52)</f>
        <v>343912.19</v>
      </c>
      <c r="G52" s="206">
        <v>7</v>
      </c>
      <c r="H52" s="204">
        <v>36339.81</v>
      </c>
      <c r="I52" s="204">
        <v>3341.82</v>
      </c>
      <c r="J52" s="205">
        <f t="shared" ref="J52:J61" si="7">SUM(H52:I52)</f>
        <v>39681.629999999997</v>
      </c>
      <c r="K52" s="206">
        <v>40</v>
      </c>
      <c r="L52" s="204">
        <v>238662.33</v>
      </c>
      <c r="M52" s="204">
        <v>22243.59</v>
      </c>
      <c r="N52" s="205">
        <f t="shared" ref="N52:N61" si="8">SUM(L52:M52)</f>
        <v>260905.91999999998</v>
      </c>
      <c r="O52" s="206">
        <v>121</v>
      </c>
      <c r="P52" s="204">
        <v>589532.51</v>
      </c>
      <c r="Q52" s="204">
        <v>54967.229999999996</v>
      </c>
      <c r="R52" s="207">
        <f t="shared" ref="R52:R61" si="9">SUM(P52:Q52)</f>
        <v>644499.74</v>
      </c>
      <c r="S52" s="82"/>
      <c r="T52" s="82">
        <f>SUM('Input TB'!$I$89:$I$94)-R52</f>
        <v>100</v>
      </c>
    </row>
    <row r="53" spans="1:20" ht="15.75" x14ac:dyDescent="0.3">
      <c r="A53" s="222" t="s">
        <v>1039</v>
      </c>
      <c r="B53" s="202" t="s">
        <v>135</v>
      </c>
      <c r="C53" s="203">
        <v>74</v>
      </c>
      <c r="D53" s="204">
        <v>256407</v>
      </c>
      <c r="E53" s="204">
        <v>25460.93</v>
      </c>
      <c r="F53" s="205">
        <v>281867.93</v>
      </c>
      <c r="G53" s="206">
        <v>8</v>
      </c>
      <c r="H53" s="204">
        <v>17807.63</v>
      </c>
      <c r="I53" s="204">
        <v>3451.92</v>
      </c>
      <c r="J53" s="205">
        <v>21259.550000000003</v>
      </c>
      <c r="K53" s="206">
        <v>39</v>
      </c>
      <c r="L53" s="204">
        <v>121123</v>
      </c>
      <c r="M53" s="204">
        <v>21464.04</v>
      </c>
      <c r="N53" s="205">
        <v>142587.04</v>
      </c>
      <c r="O53" s="206">
        <v>121</v>
      </c>
      <c r="P53" s="204">
        <v>395337.63</v>
      </c>
      <c r="Q53" s="204">
        <v>50376.89</v>
      </c>
      <c r="R53" s="207">
        <v>445714.52</v>
      </c>
      <c r="S53" s="82"/>
      <c r="T53" s="82">
        <f>SUM('Input TB'!$J$89:$J$94)-R53</f>
        <v>0.88999999995576218</v>
      </c>
    </row>
    <row r="54" spans="1:20" ht="15.75" x14ac:dyDescent="0.3">
      <c r="A54" s="279" t="s">
        <v>1040</v>
      </c>
      <c r="B54" s="202" t="s">
        <v>135</v>
      </c>
      <c r="C54" s="203">
        <v>74</v>
      </c>
      <c r="D54" s="204">
        <f>269704.67+12396+35356.87-49374.83-78+7610.789</f>
        <v>275615.49899999995</v>
      </c>
      <c r="E54" s="204">
        <f>27250.75+1710.65</f>
        <v>28961.4</v>
      </c>
      <c r="F54" s="205">
        <f t="shared" si="6"/>
        <v>304576.89899999998</v>
      </c>
      <c r="G54" s="206">
        <v>8</v>
      </c>
      <c r="H54" s="204">
        <f>33156.16+4358.19+1300.46</f>
        <v>38814.810000000005</v>
      </c>
      <c r="I54" s="204">
        <f>3657.59+613</f>
        <v>4270.59</v>
      </c>
      <c r="J54" s="205">
        <f t="shared" si="7"/>
        <v>43085.400000000009</v>
      </c>
      <c r="K54" s="206">
        <v>39</v>
      </c>
      <c r="L54" s="204">
        <f>184928.46+35282+8094.26</f>
        <v>228304.72</v>
      </c>
      <c r="M54" s="204">
        <f>21650.25+5020</f>
        <v>26670.25</v>
      </c>
      <c r="N54" s="205">
        <f t="shared" si="8"/>
        <v>254974.97</v>
      </c>
      <c r="O54" s="206">
        <v>121</v>
      </c>
      <c r="P54" s="204">
        <f>D54+H54+L54</f>
        <v>542735.02899999998</v>
      </c>
      <c r="Q54" s="204">
        <f>E54+I54+M54</f>
        <v>59902.240000000005</v>
      </c>
      <c r="R54" s="207">
        <f t="shared" si="9"/>
        <v>602637.26899999997</v>
      </c>
      <c r="S54" s="82"/>
      <c r="T54" s="82">
        <f>SUM('Input TB'!$K$89:$K$94)-R54</f>
        <v>-0.47900000005029142</v>
      </c>
    </row>
    <row r="55" spans="1:20" ht="15.75" x14ac:dyDescent="0.3">
      <c r="A55" s="279" t="s">
        <v>1041</v>
      </c>
      <c r="B55" s="202" t="s">
        <v>135</v>
      </c>
      <c r="C55" s="203">
        <v>74</v>
      </c>
      <c r="D55" s="204">
        <f>249900.63+164</f>
        <v>250064.63</v>
      </c>
      <c r="E55" s="204">
        <v>24707.1</v>
      </c>
      <c r="F55" s="205">
        <f t="shared" ref="F55:F56" si="10">D55+E55</f>
        <v>274771.73</v>
      </c>
      <c r="G55" s="206">
        <v>8</v>
      </c>
      <c r="H55" s="204">
        <f>65901.71+4358.19-17384.47</f>
        <v>52875.430000000008</v>
      </c>
      <c r="I55" s="204">
        <f>5525.96+613</f>
        <v>6138.96</v>
      </c>
      <c r="J55" s="205">
        <f t="shared" ref="J55:J56" si="11">H55+I55</f>
        <v>59014.390000000007</v>
      </c>
      <c r="K55" s="206">
        <v>39</v>
      </c>
      <c r="L55" s="204">
        <v>221125.64</v>
      </c>
      <c r="M55" s="204">
        <v>25715.7</v>
      </c>
      <c r="N55" s="205">
        <f t="shared" ref="N55:N56" si="12">L55+M55</f>
        <v>246841.34000000003</v>
      </c>
      <c r="O55" s="206">
        <f t="shared" ref="O55:R55" si="13">C55+G55+K55</f>
        <v>121</v>
      </c>
      <c r="P55" s="204">
        <f t="shared" si="13"/>
        <v>524065.7</v>
      </c>
      <c r="Q55" s="204">
        <f t="shared" si="13"/>
        <v>56561.759999999995</v>
      </c>
      <c r="R55" s="207">
        <f t="shared" si="13"/>
        <v>580627.46</v>
      </c>
      <c r="S55" s="82"/>
      <c r="T55" s="82">
        <f>SUM('Input TB'!$L$89:$L$94)-R55</f>
        <v>0.45000000006984919</v>
      </c>
    </row>
    <row r="56" spans="1:20" ht="15.75" x14ac:dyDescent="0.3">
      <c r="A56" s="279" t="s">
        <v>1044</v>
      </c>
      <c r="B56" s="202" t="s">
        <v>135</v>
      </c>
      <c r="C56" s="203">
        <v>74</v>
      </c>
      <c r="D56" s="204">
        <f>268094.47-1953.51-389.7-259.64</f>
        <v>265491.61999999994</v>
      </c>
      <c r="E56" s="204">
        <f>22899.93+7271.26</f>
        <v>30171.190000000002</v>
      </c>
      <c r="F56" s="205">
        <f t="shared" si="10"/>
        <v>295662.80999999994</v>
      </c>
      <c r="G56" s="206">
        <v>7</v>
      </c>
      <c r="H56" s="204">
        <v>34975.89</v>
      </c>
      <c r="I56" s="204">
        <v>3089.97</v>
      </c>
      <c r="J56" s="205">
        <f t="shared" si="11"/>
        <v>38065.86</v>
      </c>
      <c r="K56" s="206">
        <v>38</v>
      </c>
      <c r="L56" s="204">
        <v>226891.7</v>
      </c>
      <c r="M56" s="204">
        <v>20512.12</v>
      </c>
      <c r="N56" s="205">
        <f t="shared" si="12"/>
        <v>247403.82</v>
      </c>
      <c r="O56" s="206">
        <f t="shared" ref="O56" si="14">C56+G56+K56</f>
        <v>119</v>
      </c>
      <c r="P56" s="204">
        <f t="shared" ref="P56" si="15">D56+H56+L56</f>
        <v>527359.21</v>
      </c>
      <c r="Q56" s="204">
        <f t="shared" ref="Q56" si="16">E56+I56+M56</f>
        <v>53773.279999999999</v>
      </c>
      <c r="R56" s="207">
        <f t="shared" si="9"/>
        <v>581132.49</v>
      </c>
      <c r="S56" s="82"/>
      <c r="T56" s="82">
        <f>SUM('Input TB'!$M$89:$M$94)-R56</f>
        <v>9.9999999976716936E-2</v>
      </c>
    </row>
    <row r="57" spans="1:20" ht="15.75" x14ac:dyDescent="0.3">
      <c r="A57" s="279" t="s">
        <v>1045</v>
      </c>
      <c r="B57" s="202" t="s">
        <v>135</v>
      </c>
      <c r="C57" s="203">
        <v>74</v>
      </c>
      <c r="D57" s="204">
        <v>280950.87</v>
      </c>
      <c r="E57" s="204">
        <v>27253.01</v>
      </c>
      <c r="F57" s="205">
        <f t="shared" si="6"/>
        <v>308203.88</v>
      </c>
      <c r="G57" s="206">
        <v>7</v>
      </c>
      <c r="H57" s="204">
        <v>34975.89</v>
      </c>
      <c r="I57" s="204">
        <v>3089.97</v>
      </c>
      <c r="J57" s="205">
        <f t="shared" si="7"/>
        <v>38065.86</v>
      </c>
      <c r="K57" s="206">
        <v>36</v>
      </c>
      <c r="L57" s="204">
        <v>242468.46</v>
      </c>
      <c r="M57" s="204">
        <v>22698.92</v>
      </c>
      <c r="N57" s="205">
        <f t="shared" si="8"/>
        <v>265167.38</v>
      </c>
      <c r="O57" s="206">
        <v>117</v>
      </c>
      <c r="P57" s="204">
        <v>558395.22</v>
      </c>
      <c r="Q57" s="204">
        <v>53041.899999999994</v>
      </c>
      <c r="R57" s="207">
        <f t="shared" si="9"/>
        <v>611437.12</v>
      </c>
      <c r="S57" s="82"/>
      <c r="T57" s="82">
        <f>SUM('Input TB'!$N$89:$N$94)-R57</f>
        <v>0</v>
      </c>
    </row>
    <row r="58" spans="1:20" ht="15.75" x14ac:dyDescent="0.3">
      <c r="A58" s="279" t="s">
        <v>1046</v>
      </c>
      <c r="B58" s="202" t="s">
        <v>135</v>
      </c>
      <c r="C58" s="203">
        <v>74</v>
      </c>
      <c r="D58" s="204">
        <f>254708.56+409</f>
        <v>255117.56</v>
      </c>
      <c r="E58" s="204">
        <v>22778.890000000003</v>
      </c>
      <c r="F58" s="205">
        <f t="shared" si="6"/>
        <v>277896.45</v>
      </c>
      <c r="G58" s="206">
        <v>7</v>
      </c>
      <c r="H58" s="204">
        <v>34760.29</v>
      </c>
      <c r="I58" s="204">
        <v>3043.08</v>
      </c>
      <c r="J58" s="205">
        <f t="shared" si="7"/>
        <v>37803.370000000003</v>
      </c>
      <c r="K58" s="206">
        <v>36</v>
      </c>
      <c r="L58" s="204">
        <v>221513.80000000002</v>
      </c>
      <c r="M58" s="204">
        <v>19833.549999999996</v>
      </c>
      <c r="N58" s="205">
        <f t="shared" si="8"/>
        <v>241347.35</v>
      </c>
      <c r="O58" s="206">
        <v>117</v>
      </c>
      <c r="P58" s="204">
        <f>D58+H58+L58</f>
        <v>511391.65</v>
      </c>
      <c r="Q58" s="204">
        <f>E58+I58+M58</f>
        <v>45655.519999999997</v>
      </c>
      <c r="R58" s="207">
        <f>P58+Q58</f>
        <v>557047.17000000004</v>
      </c>
      <c r="S58" s="82"/>
      <c r="T58" s="82">
        <f>SUM('Input TB'!$O$89:$O$94)-R58</f>
        <v>0.15999999991618097</v>
      </c>
    </row>
    <row r="59" spans="1:20" ht="15.75" x14ac:dyDescent="0.3">
      <c r="A59" s="279" t="s">
        <v>1053</v>
      </c>
      <c r="B59" s="202" t="s">
        <v>135</v>
      </c>
      <c r="C59" s="203">
        <v>75</v>
      </c>
      <c r="D59" s="204">
        <v>221711.74</v>
      </c>
      <c r="E59" s="204">
        <v>21607.56</v>
      </c>
      <c r="F59" s="205">
        <v>243319.3</v>
      </c>
      <c r="G59" s="206">
        <v>8</v>
      </c>
      <c r="H59" s="204">
        <v>16539.87</v>
      </c>
      <c r="I59" s="204">
        <v>3417.67</v>
      </c>
      <c r="J59" s="205">
        <v>19957.54</v>
      </c>
      <c r="K59" s="206">
        <v>38</v>
      </c>
      <c r="L59" s="204">
        <v>95713.62</v>
      </c>
      <c r="M59" s="204">
        <v>19466.78</v>
      </c>
      <c r="N59" s="205">
        <v>115180.4</v>
      </c>
      <c r="O59" s="206">
        <v>121</v>
      </c>
      <c r="P59" s="204">
        <f t="shared" ref="P59:P60" si="17">D59+H59+L59</f>
        <v>333965.23</v>
      </c>
      <c r="Q59" s="204">
        <f t="shared" ref="Q59:Q60" si="18">E59+I59+M59</f>
        <v>44492.01</v>
      </c>
      <c r="R59" s="207">
        <f t="shared" ref="R59:R60" si="19">P59+Q59</f>
        <v>378457.24</v>
      </c>
      <c r="S59" s="82"/>
      <c r="T59" s="304">
        <f>SUM('Input TB'!$P$89:$P$94)-R59</f>
        <v>0</v>
      </c>
    </row>
    <row r="60" spans="1:20" ht="15.75" x14ac:dyDescent="0.3">
      <c r="A60" s="279" t="s">
        <v>1054</v>
      </c>
      <c r="B60" s="202" t="s">
        <v>135</v>
      </c>
      <c r="C60" s="203">
        <v>75</v>
      </c>
      <c r="D60" s="204">
        <v>278263.14</v>
      </c>
      <c r="E60" s="204">
        <v>24053.839999999997</v>
      </c>
      <c r="F60" s="205">
        <f t="shared" si="6"/>
        <v>302316.98</v>
      </c>
      <c r="G60" s="206">
        <v>8</v>
      </c>
      <c r="H60" s="204">
        <v>38450.890000000007</v>
      </c>
      <c r="I60" s="204">
        <v>3428.5600000000004</v>
      </c>
      <c r="J60" s="205">
        <f t="shared" si="7"/>
        <v>41879.450000000004</v>
      </c>
      <c r="K60" s="206">
        <v>38</v>
      </c>
      <c r="L60" s="204">
        <v>225394.74999999994</v>
      </c>
      <c r="M60" s="204">
        <v>20332.099999999999</v>
      </c>
      <c r="N60" s="205">
        <f t="shared" si="8"/>
        <v>245726.84999999995</v>
      </c>
      <c r="O60" s="206">
        <f t="shared" ref="O60" si="20">C60+G60+K60</f>
        <v>121</v>
      </c>
      <c r="P60" s="204">
        <f t="shared" si="17"/>
        <v>542108.78</v>
      </c>
      <c r="Q60" s="204">
        <f t="shared" si="18"/>
        <v>47814.5</v>
      </c>
      <c r="R60" s="207">
        <f t="shared" si="19"/>
        <v>589923.28</v>
      </c>
      <c r="S60" s="82"/>
      <c r="T60" s="82">
        <f>SUM('Input TB'!$Q$89:$Q$94)-R60</f>
        <v>-0.18000000005122274</v>
      </c>
    </row>
    <row r="61" spans="1:20" ht="15.75" x14ac:dyDescent="0.3">
      <c r="A61" s="279" t="s">
        <v>1063</v>
      </c>
      <c r="B61" s="202" t="s">
        <v>135</v>
      </c>
      <c r="C61" s="203">
        <v>75</v>
      </c>
      <c r="D61" s="204">
        <v>221864</v>
      </c>
      <c r="E61" s="204">
        <f>21214.39+9717.92</f>
        <v>30932.309999999998</v>
      </c>
      <c r="F61" s="205">
        <f t="shared" si="6"/>
        <v>252796.31</v>
      </c>
      <c r="G61" s="206">
        <v>8</v>
      </c>
      <c r="H61" s="204">
        <f>32919.9+4907.62+649.07</f>
        <v>38476.590000000004</v>
      </c>
      <c r="I61" s="204">
        <f>3613.22+1335.57</f>
        <v>4948.79</v>
      </c>
      <c r="J61" s="205">
        <f t="shared" si="7"/>
        <v>43425.380000000005</v>
      </c>
      <c r="K61" s="206">
        <v>38</v>
      </c>
      <c r="L61" s="204">
        <f>164152.57+5089.47+38035+4974.01</f>
        <v>212251.05000000002</v>
      </c>
      <c r="M61" s="204">
        <f>19681.18+7523.87</f>
        <v>27205.05</v>
      </c>
      <c r="N61" s="205">
        <f t="shared" si="8"/>
        <v>239456.1</v>
      </c>
      <c r="O61" s="206">
        <f t="shared" ref="O61" si="21">C61+G61+K61</f>
        <v>121</v>
      </c>
      <c r="P61" s="204">
        <f t="shared" ref="P61" si="22">D61+H61+L61</f>
        <v>472591.64</v>
      </c>
      <c r="Q61" s="204">
        <f t="shared" ref="Q61" si="23">E61+I61+M61</f>
        <v>63086.149999999994</v>
      </c>
      <c r="R61" s="207">
        <f t="shared" si="9"/>
        <v>535677.79</v>
      </c>
      <c r="S61" s="82"/>
      <c r="T61" s="82">
        <f>SUM('Input TB'!$R$89:$R$94)-R61</f>
        <v>0.34999999997671694</v>
      </c>
    </row>
    <row r="64" spans="1:20" x14ac:dyDescent="0.3">
      <c r="B64" t="s">
        <v>114</v>
      </c>
      <c r="C64" t="s">
        <v>115</v>
      </c>
      <c r="D64" t="s">
        <v>116</v>
      </c>
      <c r="E64" t="s">
        <v>117</v>
      </c>
      <c r="F64" t="s">
        <v>118</v>
      </c>
      <c r="G64" t="s">
        <v>119</v>
      </c>
      <c r="H64" t="s">
        <v>120</v>
      </c>
      <c r="I64" t="s">
        <v>121</v>
      </c>
      <c r="J64" t="s">
        <v>122</v>
      </c>
      <c r="K64" t="s">
        <v>123</v>
      </c>
      <c r="L64" t="s">
        <v>124</v>
      </c>
      <c r="M64" t="s">
        <v>125</v>
      </c>
      <c r="N64" t="s">
        <v>54</v>
      </c>
    </row>
    <row r="65" spans="1:14" x14ac:dyDescent="0.3">
      <c r="A65" t="s">
        <v>107</v>
      </c>
      <c r="B65" s="82">
        <f>F50</f>
        <v>265674.59000000003</v>
      </c>
      <c r="C65" s="82">
        <f>F51</f>
        <v>297097.26</v>
      </c>
      <c r="D65" s="82">
        <f>F52</f>
        <v>343912.19</v>
      </c>
      <c r="E65" s="82">
        <f>F53</f>
        <v>281867.93</v>
      </c>
      <c r="F65" s="82">
        <f>F54</f>
        <v>304576.89899999998</v>
      </c>
      <c r="G65" s="82">
        <f>F55</f>
        <v>274771.73</v>
      </c>
      <c r="H65" s="82">
        <f>F56</f>
        <v>295662.80999999994</v>
      </c>
      <c r="I65" s="82">
        <f>F57</f>
        <v>308203.88</v>
      </c>
      <c r="J65" s="82">
        <f>F58</f>
        <v>277896.45</v>
      </c>
      <c r="K65" s="82">
        <f>F59</f>
        <v>243319.3</v>
      </c>
      <c r="L65" s="82">
        <f>F60</f>
        <v>302316.98</v>
      </c>
      <c r="M65" s="82">
        <f>F61</f>
        <v>252796.31</v>
      </c>
      <c r="N65" s="82">
        <f>SUM(B65:M65)</f>
        <v>3448096.3289999999</v>
      </c>
    </row>
    <row r="66" spans="1:14" x14ac:dyDescent="0.3">
      <c r="A66" t="s">
        <v>151</v>
      </c>
      <c r="B66" s="82">
        <f>J50</f>
        <v>35571.410000000003</v>
      </c>
      <c r="C66" s="82">
        <f>J51</f>
        <v>45756.160000000003</v>
      </c>
      <c r="D66" s="82">
        <f>J52</f>
        <v>39681.629999999997</v>
      </c>
      <c r="E66" s="82">
        <f>J53</f>
        <v>21259.550000000003</v>
      </c>
      <c r="F66" s="82">
        <f>J54</f>
        <v>43085.400000000009</v>
      </c>
      <c r="G66" s="82">
        <f>J55</f>
        <v>59014.390000000007</v>
      </c>
      <c r="H66" s="82">
        <f>J56</f>
        <v>38065.86</v>
      </c>
      <c r="I66" s="82">
        <f>J57</f>
        <v>38065.86</v>
      </c>
      <c r="J66" s="82">
        <f>J58</f>
        <v>37803.370000000003</v>
      </c>
      <c r="K66" s="82">
        <f>J59</f>
        <v>19957.54</v>
      </c>
      <c r="L66" s="82">
        <f>J60</f>
        <v>41879.450000000004</v>
      </c>
      <c r="M66" s="82">
        <f>J61</f>
        <v>43425.380000000005</v>
      </c>
      <c r="N66" s="82">
        <f t="shared" ref="N66:N67" si="24">SUM(B66:M66)</f>
        <v>463566</v>
      </c>
    </row>
    <row r="67" spans="1:14" x14ac:dyDescent="0.3">
      <c r="A67" t="s">
        <v>511</v>
      </c>
      <c r="B67" s="82">
        <f>N50</f>
        <v>252764.66000000003</v>
      </c>
      <c r="C67" s="82">
        <f>N51</f>
        <v>248265.83999999997</v>
      </c>
      <c r="D67" s="82">
        <f>N52</f>
        <v>260905.91999999998</v>
      </c>
      <c r="E67" s="82">
        <f>N53</f>
        <v>142587.04</v>
      </c>
      <c r="F67" s="82">
        <f>N54</f>
        <v>254974.97</v>
      </c>
      <c r="G67" s="82">
        <f>N55</f>
        <v>246841.34000000003</v>
      </c>
      <c r="H67" s="82">
        <f>N56</f>
        <v>247403.82</v>
      </c>
      <c r="I67" s="82">
        <f>N57</f>
        <v>265167.38</v>
      </c>
      <c r="J67" s="82">
        <f>N58</f>
        <v>241347.35</v>
      </c>
      <c r="K67" s="82">
        <f>N59</f>
        <v>115180.4</v>
      </c>
      <c r="L67" s="82">
        <f>N60</f>
        <v>245726.84999999995</v>
      </c>
      <c r="M67" s="82">
        <f>N61</f>
        <v>239456.1</v>
      </c>
      <c r="N67" s="82">
        <f t="shared" si="24"/>
        <v>2760621.6700000004</v>
      </c>
    </row>
    <row r="68" spans="1:14" x14ac:dyDescent="0.3">
      <c r="N68" s="82"/>
    </row>
    <row r="69" spans="1:14" x14ac:dyDescent="0.3">
      <c r="B69" s="82">
        <f>SUM(B65:B68)</f>
        <v>554010.66</v>
      </c>
      <c r="C69" s="82">
        <f t="shared" ref="C69:L69" si="25">SUM(C65:C68)</f>
        <v>591119.26</v>
      </c>
      <c r="D69" s="82">
        <f t="shared" si="25"/>
        <v>644499.74</v>
      </c>
      <c r="E69" s="82">
        <f t="shared" si="25"/>
        <v>445714.52</v>
      </c>
      <c r="F69" s="82">
        <f t="shared" si="25"/>
        <v>602637.26899999997</v>
      </c>
      <c r="G69" s="82">
        <f t="shared" si="25"/>
        <v>580627.46</v>
      </c>
      <c r="H69" s="82">
        <f t="shared" si="25"/>
        <v>581132.49</v>
      </c>
      <c r="I69" s="82">
        <f t="shared" si="25"/>
        <v>611437.12</v>
      </c>
      <c r="J69" s="82">
        <f t="shared" si="25"/>
        <v>557047.17000000004</v>
      </c>
      <c r="K69" s="82">
        <f t="shared" si="25"/>
        <v>378457.24</v>
      </c>
      <c r="L69" s="82">
        <f t="shared" si="25"/>
        <v>589923.27999999991</v>
      </c>
      <c r="M69" s="82">
        <f>SUM(M65:M68)</f>
        <v>535677.79</v>
      </c>
      <c r="N69" s="82">
        <f t="shared" ref="N69" si="26">SUM(B69:M69)</f>
        <v>6672283.9989999998</v>
      </c>
    </row>
  </sheetData>
  <mergeCells count="12">
    <mergeCell ref="C48:F48"/>
    <mergeCell ref="G48:J48"/>
    <mergeCell ref="K48:N48"/>
    <mergeCell ref="O48:R48"/>
    <mergeCell ref="C2:F2"/>
    <mergeCell ref="G2:J2"/>
    <mergeCell ref="K2:N2"/>
    <mergeCell ref="O2:R2"/>
    <mergeCell ref="C25:F25"/>
    <mergeCell ref="G25:J25"/>
    <mergeCell ref="K25:N25"/>
    <mergeCell ref="O25:R25"/>
  </mergeCells>
  <phoneticPr fontId="3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C12C-07EB-4677-9ADD-84FF98733284}">
  <dimension ref="A3:B52"/>
  <sheetViews>
    <sheetView workbookViewId="0"/>
  </sheetViews>
  <sheetFormatPr defaultRowHeight="15" x14ac:dyDescent="0.3"/>
  <cols>
    <col min="1" max="1" width="23.75" bestFit="1" customWidth="1"/>
    <col min="2" max="2" width="14.25" bestFit="1" customWidth="1"/>
  </cols>
  <sheetData>
    <row r="3" spans="1:2" x14ac:dyDescent="0.3">
      <c r="A3" s="258" t="s">
        <v>941</v>
      </c>
      <c r="B3" t="s">
        <v>940</v>
      </c>
    </row>
    <row r="4" spans="1:2" x14ac:dyDescent="0.3">
      <c r="A4" s="259" t="s">
        <v>131</v>
      </c>
      <c r="B4" s="240">
        <v>-12408869.58</v>
      </c>
    </row>
    <row r="5" spans="1:2" x14ac:dyDescent="0.3">
      <c r="A5" s="260" t="s">
        <v>937</v>
      </c>
      <c r="B5" s="240">
        <v>-11546942.860000001</v>
      </c>
    </row>
    <row r="6" spans="1:2" x14ac:dyDescent="0.3">
      <c r="A6" s="260" t="s">
        <v>17</v>
      </c>
      <c r="B6" s="240">
        <v>-390187.86</v>
      </c>
    </row>
    <row r="7" spans="1:2" x14ac:dyDescent="0.3">
      <c r="A7" s="260" t="s">
        <v>18</v>
      </c>
      <c r="B7" s="240">
        <v>-29389.02</v>
      </c>
    </row>
    <row r="8" spans="1:2" x14ac:dyDescent="0.3">
      <c r="A8" s="260" t="s">
        <v>55</v>
      </c>
      <c r="B8" s="240">
        <v>-453919.5</v>
      </c>
    </row>
    <row r="9" spans="1:2" x14ac:dyDescent="0.3">
      <c r="A9" s="260" t="s">
        <v>22</v>
      </c>
      <c r="B9" s="240">
        <v>0</v>
      </c>
    </row>
    <row r="10" spans="1:2" x14ac:dyDescent="0.3">
      <c r="A10" s="260" t="s">
        <v>942</v>
      </c>
      <c r="B10" s="240">
        <v>11569.66</v>
      </c>
    </row>
    <row r="11" spans="1:2" x14ac:dyDescent="0.3">
      <c r="A11" s="259" t="s">
        <v>939</v>
      </c>
      <c r="B11" s="240">
        <v>10516201.02</v>
      </c>
    </row>
    <row r="12" spans="1:2" x14ac:dyDescent="0.3">
      <c r="A12" s="260" t="s">
        <v>30</v>
      </c>
      <c r="B12" s="240">
        <v>98921.05</v>
      </c>
    </row>
    <row r="13" spans="1:2" x14ac:dyDescent="0.3">
      <c r="A13" s="260" t="s">
        <v>31</v>
      </c>
      <c r="B13" s="240">
        <v>22856.16</v>
      </c>
    </row>
    <row r="14" spans="1:2" x14ac:dyDescent="0.3">
      <c r="A14" s="260" t="s">
        <v>32</v>
      </c>
      <c r="B14" s="240">
        <v>220639.8</v>
      </c>
    </row>
    <row r="15" spans="1:2" x14ac:dyDescent="0.3">
      <c r="A15" s="260" t="s">
        <v>26</v>
      </c>
      <c r="B15" s="240">
        <v>9855694.1499999985</v>
      </c>
    </row>
    <row r="16" spans="1:2" x14ac:dyDescent="0.3">
      <c r="A16" s="260" t="s">
        <v>29</v>
      </c>
      <c r="B16" s="240">
        <v>478143.83999999997</v>
      </c>
    </row>
    <row r="17" spans="1:2" x14ac:dyDescent="0.3">
      <c r="A17" s="260" t="s">
        <v>281</v>
      </c>
      <c r="B17" s="240">
        <v>32845.880000000005</v>
      </c>
    </row>
    <row r="18" spans="1:2" x14ac:dyDescent="0.3">
      <c r="A18" s="260" t="s">
        <v>754</v>
      </c>
      <c r="B18" s="240">
        <v>16622.080000000002</v>
      </c>
    </row>
    <row r="19" spans="1:2" x14ac:dyDescent="0.3">
      <c r="A19" s="260" t="s">
        <v>33</v>
      </c>
      <c r="B19" s="240">
        <v>120726.06</v>
      </c>
    </row>
    <row r="20" spans="1:2" x14ac:dyDescent="0.3">
      <c r="A20" s="260" t="s">
        <v>112</v>
      </c>
      <c r="B20" s="240">
        <v>-330248</v>
      </c>
    </row>
    <row r="21" spans="1:2" x14ac:dyDescent="0.3">
      <c r="A21" s="260" t="s">
        <v>169</v>
      </c>
      <c r="B21" s="240">
        <v>0</v>
      </c>
    </row>
    <row r="22" spans="1:2" x14ac:dyDescent="0.3">
      <c r="A22" s="259" t="s">
        <v>948</v>
      </c>
      <c r="B22" s="240">
        <v>-75725.310000000056</v>
      </c>
    </row>
    <row r="23" spans="1:2" x14ac:dyDescent="0.3">
      <c r="A23" s="260" t="s">
        <v>17</v>
      </c>
      <c r="B23" s="240">
        <v>-85978.349999999991</v>
      </c>
    </row>
    <row r="24" spans="1:2" x14ac:dyDescent="0.3">
      <c r="A24" s="260" t="s">
        <v>18</v>
      </c>
      <c r="B24" s="240">
        <v>-1245.33</v>
      </c>
    </row>
    <row r="25" spans="1:2" x14ac:dyDescent="0.3">
      <c r="A25" s="260" t="s">
        <v>942</v>
      </c>
      <c r="B25" s="240">
        <v>-598004.21</v>
      </c>
    </row>
    <row r="26" spans="1:2" x14ac:dyDescent="0.3">
      <c r="A26" s="260" t="s">
        <v>159</v>
      </c>
      <c r="B26" s="240">
        <v>-2323546.23</v>
      </c>
    </row>
    <row r="27" spans="1:2" x14ac:dyDescent="0.3">
      <c r="A27" s="260" t="s">
        <v>950</v>
      </c>
      <c r="B27" s="240">
        <v>28547.83</v>
      </c>
    </row>
    <row r="28" spans="1:2" x14ac:dyDescent="0.3">
      <c r="A28" s="260" t="s">
        <v>949</v>
      </c>
      <c r="B28" s="240">
        <v>2904500.98</v>
      </c>
    </row>
    <row r="29" spans="1:2" x14ac:dyDescent="0.3">
      <c r="A29" s="259" t="s">
        <v>942</v>
      </c>
      <c r="B29" s="240">
        <v>2812.62</v>
      </c>
    </row>
    <row r="30" spans="1:2" x14ac:dyDescent="0.3">
      <c r="A30" s="260" t="s">
        <v>942</v>
      </c>
      <c r="B30" s="240">
        <v>0</v>
      </c>
    </row>
    <row r="31" spans="1:2" x14ac:dyDescent="0.3">
      <c r="A31" s="260" t="s">
        <v>43</v>
      </c>
      <c r="B31" s="240">
        <v>2812.62</v>
      </c>
    </row>
    <row r="32" spans="1:2" x14ac:dyDescent="0.3">
      <c r="A32" s="260" t="s">
        <v>753</v>
      </c>
      <c r="B32" s="240">
        <v>0</v>
      </c>
    </row>
    <row r="33" spans="1:2" x14ac:dyDescent="0.3">
      <c r="A33" s="260" t="s">
        <v>951</v>
      </c>
      <c r="B33" s="240">
        <v>0</v>
      </c>
    </row>
    <row r="34" spans="1:2" x14ac:dyDescent="0.3">
      <c r="A34" s="260" t="s">
        <v>1022</v>
      </c>
      <c r="B34" s="240">
        <v>0</v>
      </c>
    </row>
    <row r="35" spans="1:2" x14ac:dyDescent="0.3">
      <c r="A35" s="260" t="s">
        <v>1025</v>
      </c>
      <c r="B35" s="240"/>
    </row>
    <row r="36" spans="1:2" x14ac:dyDescent="0.3">
      <c r="A36" s="259" t="s">
        <v>944</v>
      </c>
      <c r="B36" s="240">
        <v>498603.31</v>
      </c>
    </row>
    <row r="37" spans="1:2" x14ac:dyDescent="0.3">
      <c r="A37" s="260" t="s">
        <v>282</v>
      </c>
      <c r="B37" s="240">
        <v>453750.10000000003</v>
      </c>
    </row>
    <row r="38" spans="1:2" x14ac:dyDescent="0.3">
      <c r="A38" s="260" t="s">
        <v>38</v>
      </c>
      <c r="B38" s="240">
        <v>29020.74</v>
      </c>
    </row>
    <row r="39" spans="1:2" x14ac:dyDescent="0.3">
      <c r="A39" s="260" t="s">
        <v>39</v>
      </c>
      <c r="B39" s="240">
        <v>15832.47</v>
      </c>
    </row>
    <row r="40" spans="1:2" x14ac:dyDescent="0.3">
      <c r="A40" s="259" t="s">
        <v>945</v>
      </c>
      <c r="B40" s="240">
        <v>144113.30000000002</v>
      </c>
    </row>
    <row r="41" spans="1:2" x14ac:dyDescent="0.3">
      <c r="A41" s="260" t="s">
        <v>43</v>
      </c>
      <c r="B41" s="240">
        <v>144113.30000000002</v>
      </c>
    </row>
    <row r="42" spans="1:2" x14ac:dyDescent="0.3">
      <c r="A42" s="260" t="s">
        <v>871</v>
      </c>
      <c r="B42" s="240">
        <v>0</v>
      </c>
    </row>
    <row r="43" spans="1:2" x14ac:dyDescent="0.3">
      <c r="A43" s="259" t="s">
        <v>946</v>
      </c>
      <c r="B43" s="240">
        <v>-6208.6900000000005</v>
      </c>
    </row>
    <row r="44" spans="1:2" x14ac:dyDescent="0.3">
      <c r="A44" s="260" t="s">
        <v>753</v>
      </c>
      <c r="B44" s="240">
        <v>-6208.6900000000005</v>
      </c>
    </row>
    <row r="45" spans="1:2" x14ac:dyDescent="0.3">
      <c r="A45" s="259" t="s">
        <v>947</v>
      </c>
      <c r="B45" s="240">
        <v>180147.58</v>
      </c>
    </row>
    <row r="46" spans="1:2" x14ac:dyDescent="0.3">
      <c r="A46" s="260" t="s">
        <v>942</v>
      </c>
      <c r="B46" s="240">
        <v>0</v>
      </c>
    </row>
    <row r="47" spans="1:2" x14ac:dyDescent="0.3">
      <c r="A47" s="260" t="s">
        <v>755</v>
      </c>
      <c r="B47" s="240">
        <v>68523.73</v>
      </c>
    </row>
    <row r="48" spans="1:2" x14ac:dyDescent="0.3">
      <c r="A48" s="260" t="s">
        <v>870</v>
      </c>
      <c r="B48" s="240">
        <v>108628.94</v>
      </c>
    </row>
    <row r="49" spans="1:2" x14ac:dyDescent="0.3">
      <c r="A49" s="260" t="s">
        <v>871</v>
      </c>
      <c r="B49" s="240">
        <v>2994.91</v>
      </c>
    </row>
    <row r="50" spans="1:2" x14ac:dyDescent="0.3">
      <c r="A50" s="259" t="s">
        <v>951</v>
      </c>
      <c r="B50" s="240">
        <v>591119.25999999989</v>
      </c>
    </row>
    <row r="51" spans="1:2" x14ac:dyDescent="0.3">
      <c r="A51" s="260" t="s">
        <v>951</v>
      </c>
      <c r="B51" s="240">
        <v>591119.25999999989</v>
      </c>
    </row>
    <row r="52" spans="1:2" x14ac:dyDescent="0.3">
      <c r="A52" s="259" t="s">
        <v>943</v>
      </c>
      <c r="B52" s="240">
        <v>-557806.48999999964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C244"/>
  <sheetViews>
    <sheetView topLeftCell="B1" workbookViewId="0">
      <selection activeCell="G9" sqref="G9"/>
    </sheetView>
  </sheetViews>
  <sheetFormatPr defaultColWidth="9" defaultRowHeight="12.75" x14ac:dyDescent="0.2"/>
  <cols>
    <col min="1" max="1" width="14.5" style="10" customWidth="1"/>
    <col min="2" max="2" width="12.25" style="10" customWidth="1"/>
    <col min="3" max="3" width="9" style="10"/>
    <col min="4" max="4" width="12.25" style="10" bestFit="1" customWidth="1"/>
    <col min="5" max="5" width="11.25" style="46" bestFit="1" customWidth="1"/>
    <col min="6" max="6" width="56.25" style="10" bestFit="1" customWidth="1"/>
    <col min="7" max="7" width="14.375" style="43" bestFit="1" customWidth="1"/>
    <col min="8" max="8" width="13.125" style="43" bestFit="1" customWidth="1"/>
    <col min="9" max="9" width="12.625" style="47" customWidth="1"/>
    <col min="10" max="10" width="13.125" style="47" customWidth="1"/>
    <col min="11" max="12" width="13.125" style="10" bestFit="1" customWidth="1"/>
    <col min="13" max="16" width="13.125" style="10" customWidth="1"/>
    <col min="17" max="17" width="13.125" style="10" bestFit="1" customWidth="1"/>
    <col min="18" max="18" width="12.5" style="10" bestFit="1" customWidth="1"/>
    <col min="19" max="19" width="20.375" style="10" bestFit="1" customWidth="1"/>
    <col min="20" max="26" width="9" style="10"/>
    <col min="27" max="27" width="12.125" style="10" bestFit="1" customWidth="1"/>
    <col min="28" max="28" width="11.625" style="10" bestFit="1" customWidth="1"/>
    <col min="29" max="29" width="12.125" style="10" bestFit="1" customWidth="1"/>
    <col min="30" max="16384" width="9" style="10"/>
  </cols>
  <sheetData>
    <row r="1" spans="1:29" ht="17.25" customHeight="1" thickBot="1" x14ac:dyDescent="0.25">
      <c r="A1" s="16" t="s">
        <v>57</v>
      </c>
      <c r="B1" s="262">
        <f>A27</f>
        <v>2024</v>
      </c>
      <c r="E1" s="79"/>
      <c r="F1" s="80"/>
      <c r="G1" s="74" t="s">
        <v>128</v>
      </c>
      <c r="H1" s="74"/>
      <c r="I1" s="75"/>
      <c r="J1" s="75"/>
      <c r="K1" s="76"/>
      <c r="L1" s="76"/>
      <c r="M1" s="76"/>
      <c r="N1" s="76"/>
      <c r="O1" s="76"/>
      <c r="P1" s="76"/>
      <c r="Q1" s="76"/>
      <c r="R1" s="76"/>
    </row>
    <row r="2" spans="1:29" s="48" customFormat="1" ht="13.5" thickBot="1" x14ac:dyDescent="0.25">
      <c r="D2" s="246" t="s">
        <v>936</v>
      </c>
      <c r="E2" s="247" t="s">
        <v>58</v>
      </c>
      <c r="F2" s="248" t="s">
        <v>59</v>
      </c>
      <c r="G2" s="70" t="s">
        <v>114</v>
      </c>
      <c r="H2" s="70" t="s">
        <v>115</v>
      </c>
      <c r="I2" s="70" t="s">
        <v>116</v>
      </c>
      <c r="J2" s="70" t="s">
        <v>117</v>
      </c>
      <c r="K2" s="70" t="s">
        <v>118</v>
      </c>
      <c r="L2" s="70" t="s">
        <v>119</v>
      </c>
      <c r="M2" s="70" t="s">
        <v>120</v>
      </c>
      <c r="N2" s="70" t="s">
        <v>121</v>
      </c>
      <c r="O2" s="70" t="s">
        <v>122</v>
      </c>
      <c r="P2" s="70" t="s">
        <v>123</v>
      </c>
      <c r="Q2" s="70" t="s">
        <v>124</v>
      </c>
      <c r="R2" s="70" t="s">
        <v>125</v>
      </c>
      <c r="S2" s="70" t="s">
        <v>938</v>
      </c>
    </row>
    <row r="3" spans="1:29" ht="18.75" customHeight="1" thickBot="1" x14ac:dyDescent="0.25">
      <c r="A3" s="16" t="s">
        <v>56</v>
      </c>
      <c r="B3" s="45" t="s">
        <v>106</v>
      </c>
      <c r="D3" s="252" t="s">
        <v>952</v>
      </c>
      <c r="E3" s="253"/>
      <c r="F3" s="254" t="s">
        <v>766</v>
      </c>
      <c r="G3" s="255">
        <v>5</v>
      </c>
      <c r="H3" s="255">
        <f>G3+2</f>
        <v>7</v>
      </c>
      <c r="I3" s="255">
        <v>9</v>
      </c>
      <c r="J3" s="255">
        <f t="shared" ref="J3:R3" si="0">I3+2</f>
        <v>11</v>
      </c>
      <c r="K3" s="255">
        <f t="shared" si="0"/>
        <v>13</v>
      </c>
      <c r="L3" s="255">
        <f t="shared" si="0"/>
        <v>15</v>
      </c>
      <c r="M3" s="255">
        <f t="shared" si="0"/>
        <v>17</v>
      </c>
      <c r="N3" s="255">
        <f t="shared" si="0"/>
        <v>19</v>
      </c>
      <c r="O3" s="255">
        <f t="shared" si="0"/>
        <v>21</v>
      </c>
      <c r="P3" s="255">
        <f t="shared" si="0"/>
        <v>23</v>
      </c>
      <c r="Q3" s="255">
        <f t="shared" si="0"/>
        <v>25</v>
      </c>
      <c r="R3" s="256">
        <f t="shared" si="0"/>
        <v>27</v>
      </c>
      <c r="S3" s="257" t="s">
        <v>952</v>
      </c>
    </row>
    <row r="4" spans="1:29" ht="13.5" thickBot="1" x14ac:dyDescent="0.25">
      <c r="D4" s="149"/>
      <c r="E4" s="77"/>
      <c r="F4" s="71"/>
      <c r="G4" s="81"/>
      <c r="H4" s="81"/>
      <c r="I4" s="81"/>
      <c r="J4" s="81"/>
      <c r="K4" s="81"/>
      <c r="L4" s="81"/>
      <c r="M4" s="81"/>
      <c r="N4" s="81"/>
      <c r="O4" s="81"/>
      <c r="P4" s="81"/>
      <c r="Q4" s="73"/>
      <c r="R4" s="73"/>
      <c r="S4" s="182"/>
    </row>
    <row r="5" spans="1:29" ht="13.5" thickBot="1" x14ac:dyDescent="0.25">
      <c r="A5" s="10" t="s">
        <v>129</v>
      </c>
      <c r="B5" s="45" t="s">
        <v>105</v>
      </c>
      <c r="D5" s="149"/>
      <c r="E5" s="77"/>
      <c r="F5" s="71"/>
      <c r="G5" s="81"/>
      <c r="H5" s="81"/>
      <c r="I5" s="81"/>
      <c r="J5" s="81"/>
      <c r="K5" s="81"/>
      <c r="L5" s="81"/>
      <c r="M5" s="81"/>
      <c r="N5" s="81"/>
      <c r="O5" s="81"/>
      <c r="P5" s="81"/>
      <c r="Q5" s="73"/>
      <c r="R5" s="73"/>
      <c r="S5" s="182"/>
    </row>
    <row r="6" spans="1:29" ht="13.5" thickBot="1" x14ac:dyDescent="0.25">
      <c r="D6" s="149"/>
      <c r="E6" s="77"/>
      <c r="F6" s="71"/>
      <c r="G6" s="81"/>
      <c r="H6" s="81"/>
      <c r="I6" s="81"/>
      <c r="J6" s="81"/>
      <c r="K6" s="81"/>
      <c r="L6" s="81"/>
      <c r="M6" s="81"/>
      <c r="N6" s="81"/>
      <c r="O6" s="81"/>
      <c r="P6" s="81"/>
      <c r="Q6" s="73"/>
      <c r="R6" s="73"/>
      <c r="S6" s="182"/>
    </row>
    <row r="7" spans="1:29" ht="13.5" thickBot="1" x14ac:dyDescent="0.25">
      <c r="A7" s="10" t="s">
        <v>285</v>
      </c>
      <c r="B7" s="45">
        <v>12</v>
      </c>
      <c r="D7" s="149"/>
      <c r="E7" s="77"/>
      <c r="F7" s="71"/>
      <c r="G7" s="81"/>
      <c r="H7" s="81"/>
      <c r="I7" s="81"/>
      <c r="J7" s="81"/>
      <c r="K7" s="81"/>
      <c r="L7" s="81"/>
      <c r="M7" s="81"/>
      <c r="N7" s="81"/>
      <c r="O7" s="81"/>
      <c r="P7" s="81"/>
      <c r="Q7" s="73"/>
      <c r="R7" s="73"/>
      <c r="S7" s="182"/>
    </row>
    <row r="8" spans="1:29" x14ac:dyDescent="0.2">
      <c r="D8" s="149"/>
      <c r="E8" s="77"/>
      <c r="F8" s="71"/>
      <c r="G8" s="81"/>
      <c r="H8" s="81"/>
      <c r="I8" s="81"/>
      <c r="J8" s="81"/>
      <c r="K8" s="81"/>
      <c r="L8" s="81"/>
      <c r="M8" s="81"/>
      <c r="N8" s="81"/>
      <c r="O8" s="81"/>
      <c r="P8" s="81"/>
      <c r="Q8" s="73"/>
      <c r="R8" s="73"/>
      <c r="S8" s="182"/>
    </row>
    <row r="9" spans="1:29" x14ac:dyDescent="0.2">
      <c r="B9" s="43"/>
      <c r="D9" s="149" t="s">
        <v>937</v>
      </c>
      <c r="E9" s="77" t="s">
        <v>341</v>
      </c>
      <c r="F9" s="71" t="s">
        <v>178</v>
      </c>
      <c r="G9" s="81">
        <v>-10828084.15</v>
      </c>
      <c r="H9" s="81">
        <v>-11600192.560000001</v>
      </c>
      <c r="I9" s="81">
        <v>-10309770.439999999</v>
      </c>
      <c r="J9" s="81">
        <v>-9703903.2699999996</v>
      </c>
      <c r="K9" s="81">
        <v>-9587638.0800000001</v>
      </c>
      <c r="L9" s="81">
        <v>-8954240.5399999991</v>
      </c>
      <c r="M9" s="81">
        <v>-10231523.560000001</v>
      </c>
      <c r="N9" s="81">
        <v>-6953199.1900000004</v>
      </c>
      <c r="O9" s="81">
        <v>-6232284.5999999996</v>
      </c>
      <c r="P9" s="81">
        <v>-5520142.9299999997</v>
      </c>
      <c r="Q9" s="81">
        <v>-5863636</v>
      </c>
      <c r="R9" s="81">
        <v>-4035437.16</v>
      </c>
      <c r="S9" s="182" t="s">
        <v>131</v>
      </c>
      <c r="T9" s="10" t="str">
        <f>VLOOKUP(E9,'TB (H)'!$A$2:$B$279,2,0)</f>
        <v>SALES MATERIALS OWN PRODUCTION</v>
      </c>
      <c r="AA9" s="43"/>
      <c r="AB9" s="272"/>
      <c r="AC9" s="43"/>
    </row>
    <row r="10" spans="1:29" ht="18" x14ac:dyDescent="0.25">
      <c r="A10" s="219" t="s">
        <v>541</v>
      </c>
      <c r="B10" s="218"/>
      <c r="C10" s="217"/>
      <c r="D10" s="149" t="s">
        <v>937</v>
      </c>
      <c r="E10" s="77" t="s">
        <v>342</v>
      </c>
      <c r="F10" s="71" t="s">
        <v>179</v>
      </c>
      <c r="G10" s="81">
        <v>62916.94</v>
      </c>
      <c r="H10" s="81">
        <v>53249.7</v>
      </c>
      <c r="I10" s="81">
        <v>18065.330000000002</v>
      </c>
      <c r="J10" s="81">
        <v>58639.27</v>
      </c>
      <c r="K10" s="81">
        <v>19101.66</v>
      </c>
      <c r="L10" s="81">
        <v>26485.61</v>
      </c>
      <c r="M10" s="81">
        <v>18209.8</v>
      </c>
      <c r="N10" s="81">
        <v>6936.86</v>
      </c>
      <c r="O10" s="81">
        <v>16066.99</v>
      </c>
      <c r="P10" s="81">
        <v>16920.68</v>
      </c>
      <c r="Q10" s="81">
        <v>15195.6</v>
      </c>
      <c r="R10" s="81">
        <v>28470.1</v>
      </c>
      <c r="S10" s="182" t="s">
        <v>131</v>
      </c>
      <c r="T10" s="10" t="str">
        <f>VLOOKUP(E10,'TB (H)'!$A$2:$B$279,2,0)</f>
        <v>RETURN ON  SALES MATERIALS OWN PRODUCTION</v>
      </c>
      <c r="AA10" s="43"/>
      <c r="AB10" s="272"/>
      <c r="AC10" s="43"/>
    </row>
    <row r="11" spans="1:29" ht="18" x14ac:dyDescent="0.25">
      <c r="A11" s="219" t="s">
        <v>542</v>
      </c>
      <c r="B11" s="218"/>
      <c r="C11" s="217"/>
      <c r="D11" s="250"/>
      <c r="E11" s="77" t="s">
        <v>882</v>
      </c>
      <c r="F11" s="71" t="s">
        <v>779</v>
      </c>
      <c r="G11" s="81">
        <v>0</v>
      </c>
      <c r="H11" s="81">
        <v>0</v>
      </c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  <c r="P11" s="81">
        <v>0</v>
      </c>
      <c r="Q11" s="81">
        <v>0</v>
      </c>
      <c r="R11" s="81">
        <v>0</v>
      </c>
      <c r="S11" s="182" t="s">
        <v>131</v>
      </c>
      <c r="T11" s="10" t="str">
        <f>VLOOKUP(E11,'TB (H)'!$A$2:$B$279,2,0)</f>
        <v>PROVISION CLAIMS MATERIALS OWN PRODUCTION</v>
      </c>
      <c r="AA11" s="43"/>
      <c r="AB11" s="272"/>
      <c r="AC11" s="43"/>
    </row>
    <row r="12" spans="1:29" ht="18" x14ac:dyDescent="0.25">
      <c r="A12" s="219"/>
      <c r="B12" s="218"/>
      <c r="C12" s="217"/>
      <c r="D12" s="250"/>
      <c r="E12" s="77" t="s">
        <v>1033</v>
      </c>
      <c r="F12" s="71" t="s">
        <v>1034</v>
      </c>
      <c r="G12" s="81">
        <v>0</v>
      </c>
      <c r="H12" s="81">
        <v>0</v>
      </c>
      <c r="I12" s="81">
        <v>0</v>
      </c>
      <c r="J12" s="81">
        <v>17.100000000000001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182"/>
      <c r="AA12" s="43"/>
      <c r="AB12" s="272"/>
      <c r="AC12" s="43"/>
    </row>
    <row r="13" spans="1:29" x14ac:dyDescent="0.2">
      <c r="B13" s="43"/>
      <c r="D13" s="149"/>
      <c r="E13" s="77" t="s">
        <v>778</v>
      </c>
      <c r="F13" s="71" t="s">
        <v>883</v>
      </c>
      <c r="G13" s="81">
        <v>10000</v>
      </c>
      <c r="H13" s="81">
        <v>11569.66</v>
      </c>
      <c r="I13" s="81">
        <v>10000</v>
      </c>
      <c r="J13" s="81">
        <v>10000</v>
      </c>
      <c r="K13" s="81">
        <v>10000</v>
      </c>
      <c r="L13" s="81">
        <v>10000</v>
      </c>
      <c r="M13" s="81">
        <v>10000</v>
      </c>
      <c r="N13" s="81">
        <v>10000</v>
      </c>
      <c r="O13" s="81">
        <v>10000</v>
      </c>
      <c r="P13" s="81">
        <v>10000</v>
      </c>
      <c r="Q13" s="81">
        <v>10000</v>
      </c>
      <c r="R13" s="81">
        <v>10000</v>
      </c>
      <c r="S13" s="182" t="s">
        <v>131</v>
      </c>
      <c r="T13" s="10" t="str">
        <f>VLOOKUP(E13,'TB (H)'!$A$2:$B$279,2,0)</f>
        <v>REBATE ON SALES MATERIALS OWN PRODUCTION</v>
      </c>
      <c r="AA13" s="43"/>
      <c r="AB13" s="272"/>
      <c r="AC13" s="43"/>
    </row>
    <row r="14" spans="1:29" x14ac:dyDescent="0.2">
      <c r="B14" s="43"/>
      <c r="D14" s="149"/>
      <c r="E14" s="77" t="s">
        <v>343</v>
      </c>
      <c r="F14" s="71" t="s">
        <v>180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  <c r="P14" s="81">
        <v>0</v>
      </c>
      <c r="Q14" s="81">
        <v>0</v>
      </c>
      <c r="R14" s="81">
        <v>0</v>
      </c>
      <c r="S14" s="182" t="s">
        <v>131</v>
      </c>
      <c r="T14" s="10" t="str">
        <f>VLOOKUP(E14,'TB (H)'!$A$2:$B$279,2,0)</f>
        <v>RECHARGE OUTGOING FREIGHT COST MATERIAL OWN PRODUCTION (freight)</v>
      </c>
      <c r="AA14" s="43"/>
      <c r="AB14" s="272"/>
      <c r="AC14" s="43"/>
    </row>
    <row r="15" spans="1:29" x14ac:dyDescent="0.2">
      <c r="B15" s="43"/>
      <c r="D15" s="149" t="s">
        <v>17</v>
      </c>
      <c r="E15" s="77" t="s">
        <v>344</v>
      </c>
      <c r="F15" s="71" t="s">
        <v>181</v>
      </c>
      <c r="G15" s="81">
        <v>-437506.87</v>
      </c>
      <c r="H15" s="81">
        <v>-390187.86</v>
      </c>
      <c r="I15" s="81">
        <v>-355717.68</v>
      </c>
      <c r="J15" s="81">
        <v>-316410.2</v>
      </c>
      <c r="K15" s="81">
        <v>-345262.43</v>
      </c>
      <c r="L15" s="81">
        <v>-282136.43</v>
      </c>
      <c r="M15" s="81">
        <v>-333922.58</v>
      </c>
      <c r="N15" s="81">
        <v>-211223.99</v>
      </c>
      <c r="O15" s="81">
        <v>-207434.75</v>
      </c>
      <c r="P15" s="81">
        <v>-179638.24</v>
      </c>
      <c r="Q15" s="81">
        <v>-214326</v>
      </c>
      <c r="R15" s="81">
        <v>-135776.94</v>
      </c>
      <c r="S15" s="182" t="s">
        <v>131</v>
      </c>
      <c r="T15" s="10" t="str">
        <f>VLOOKUP(E15,'TB (H)'!$A$2:$B$279,2,0)</f>
        <v>RECHARGE OUTGOING FREIGHT COST MATERIAL OWN PRODUCTION (others)</v>
      </c>
      <c r="AA15" s="43"/>
      <c r="AB15" s="272"/>
      <c r="AC15" s="43"/>
    </row>
    <row r="16" spans="1:29" x14ac:dyDescent="0.2">
      <c r="B16" s="43"/>
      <c r="D16" s="149" t="s">
        <v>18</v>
      </c>
      <c r="E16" s="77" t="s">
        <v>345</v>
      </c>
      <c r="F16" s="71" t="s">
        <v>182</v>
      </c>
      <c r="G16" s="81">
        <v>-29641.26</v>
      </c>
      <c r="H16" s="81">
        <v>-29389.02</v>
      </c>
      <c r="I16" s="81">
        <v>-21552.41</v>
      </c>
      <c r="J16" s="81">
        <v>-26099.34</v>
      </c>
      <c r="K16" s="81">
        <v>-24164.93</v>
      </c>
      <c r="L16" s="81">
        <v>-12577.72</v>
      </c>
      <c r="M16" s="81">
        <v>-15966.35</v>
      </c>
      <c r="N16" s="81">
        <v>-9148.49</v>
      </c>
      <c r="O16" s="81">
        <v>-8310.9</v>
      </c>
      <c r="P16" s="81">
        <v>-8167.68</v>
      </c>
      <c r="Q16" s="81">
        <v>-994.07</v>
      </c>
      <c r="R16" s="81">
        <v>-2851.58</v>
      </c>
      <c r="S16" s="182" t="s">
        <v>131</v>
      </c>
      <c r="T16" s="10" t="str">
        <f>VLOOKUP(E16,'TB (H)'!$A$2:$B$279,2,0)</f>
        <v>RECHARGE COMMISSIONS ON SALES MATERIAL OWN PRODUCTION</v>
      </c>
      <c r="AA16" s="43"/>
      <c r="AB16" s="272"/>
      <c r="AC16" s="43"/>
    </row>
    <row r="17" spans="1:29" x14ac:dyDescent="0.2">
      <c r="B17" s="43"/>
      <c r="D17" s="149"/>
      <c r="E17" s="77" t="s">
        <v>346</v>
      </c>
      <c r="F17" s="71" t="s">
        <v>179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182" t="s">
        <v>131</v>
      </c>
      <c r="AA17" s="43"/>
      <c r="AB17" s="272"/>
      <c r="AC17" s="43"/>
    </row>
    <row r="18" spans="1:29" x14ac:dyDescent="0.2">
      <c r="B18" s="43"/>
      <c r="D18" s="149"/>
      <c r="E18" s="77" t="s">
        <v>347</v>
      </c>
      <c r="F18" s="71" t="s">
        <v>183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182" t="s">
        <v>131</v>
      </c>
      <c r="AA18" s="43"/>
      <c r="AB18" s="272"/>
      <c r="AC18" s="43"/>
    </row>
    <row r="19" spans="1:29" x14ac:dyDescent="0.2">
      <c r="B19" s="43"/>
      <c r="D19" s="149"/>
      <c r="E19" s="77" t="s">
        <v>348</v>
      </c>
      <c r="F19" s="71" t="s">
        <v>185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182" t="s">
        <v>131</v>
      </c>
      <c r="AA19" s="43"/>
      <c r="AB19" s="272"/>
      <c r="AC19" s="43"/>
    </row>
    <row r="20" spans="1:29" x14ac:dyDescent="0.2">
      <c r="B20" s="43"/>
      <c r="D20" s="149"/>
      <c r="E20" s="77" t="s">
        <v>349</v>
      </c>
      <c r="F20" s="71" t="s">
        <v>179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  <c r="P20" s="81">
        <v>0</v>
      </c>
      <c r="Q20" s="81">
        <v>0</v>
      </c>
      <c r="R20" s="81">
        <v>0</v>
      </c>
      <c r="S20" s="182" t="s">
        <v>131</v>
      </c>
      <c r="AA20" s="43"/>
      <c r="AB20" s="272"/>
      <c r="AC20" s="43"/>
    </row>
    <row r="21" spans="1:29" x14ac:dyDescent="0.2">
      <c r="B21" s="43"/>
      <c r="D21" s="149"/>
      <c r="E21" s="77" t="s">
        <v>350</v>
      </c>
      <c r="F21" s="71" t="s">
        <v>186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  <c r="P21" s="81">
        <v>0</v>
      </c>
      <c r="Q21" s="81">
        <v>0</v>
      </c>
      <c r="R21" s="81">
        <v>0</v>
      </c>
      <c r="S21" s="182" t="s">
        <v>131</v>
      </c>
      <c r="AA21" s="43"/>
      <c r="AB21" s="272"/>
      <c r="AC21" s="43"/>
    </row>
    <row r="22" spans="1:29" ht="13.5" thickBot="1" x14ac:dyDescent="0.25">
      <c r="B22" s="43"/>
      <c r="D22" s="149"/>
      <c r="E22" s="77" t="s">
        <v>465</v>
      </c>
      <c r="F22" s="71" t="s">
        <v>184</v>
      </c>
      <c r="G22" s="81">
        <v>0</v>
      </c>
      <c r="H22" s="81">
        <v>0</v>
      </c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  <c r="P22" s="81">
        <v>0</v>
      </c>
      <c r="Q22" s="81">
        <v>0</v>
      </c>
      <c r="R22" s="81">
        <v>0</v>
      </c>
      <c r="S22" s="182" t="s">
        <v>131</v>
      </c>
      <c r="AA22" s="43"/>
      <c r="AB22" s="272"/>
      <c r="AC22" s="43"/>
    </row>
    <row r="23" spans="1:29" x14ac:dyDescent="0.2">
      <c r="A23" s="337" t="s">
        <v>288</v>
      </c>
      <c r="B23" s="338"/>
      <c r="C23" s="338"/>
      <c r="D23" s="149" t="s">
        <v>159</v>
      </c>
      <c r="E23" s="77" t="s">
        <v>351</v>
      </c>
      <c r="F23" s="71" t="s">
        <v>187</v>
      </c>
      <c r="G23" s="81">
        <v>-1770184.41</v>
      </c>
      <c r="H23" s="81">
        <v>-2328565.96</v>
      </c>
      <c r="I23" s="81">
        <v>-1596291.91</v>
      </c>
      <c r="J23" s="81">
        <v>-1589640.17</v>
      </c>
      <c r="K23" s="81">
        <v>-2166860.79</v>
      </c>
      <c r="L23" s="81">
        <v>-1140649.57</v>
      </c>
      <c r="M23" s="81">
        <v>-1347174.66</v>
      </c>
      <c r="N23" s="81">
        <v>-824418.42</v>
      </c>
      <c r="O23" s="81">
        <v>-606042.4</v>
      </c>
      <c r="P23" s="81">
        <v>-1166588.6499999999</v>
      </c>
      <c r="Q23" s="81">
        <v>-68313.88</v>
      </c>
      <c r="R23" s="81">
        <v>-100385.17</v>
      </c>
      <c r="S23" s="182" t="s">
        <v>948</v>
      </c>
      <c r="T23" s="10" t="str">
        <f>VLOOKUP(E23,'TB (H)'!$A$2:$B$279,2,0)</f>
        <v>SALES TRADING PRODUCTS</v>
      </c>
      <c r="AA23" s="43"/>
      <c r="AB23" s="272"/>
      <c r="AC23" s="43"/>
    </row>
    <row r="24" spans="1:29" x14ac:dyDescent="0.2">
      <c r="A24" s="209" t="s">
        <v>138</v>
      </c>
      <c r="B24" s="210" t="s">
        <v>53</v>
      </c>
      <c r="D24" s="149" t="s">
        <v>159</v>
      </c>
      <c r="E24" s="77" t="s">
        <v>352</v>
      </c>
      <c r="F24" s="71" t="s">
        <v>188</v>
      </c>
      <c r="G24" s="81">
        <v>19194.57</v>
      </c>
      <c r="H24" s="81">
        <v>5019.7299999999996</v>
      </c>
      <c r="I24" s="81">
        <v>0</v>
      </c>
      <c r="J24" s="81">
        <v>10781.3</v>
      </c>
      <c r="K24" s="81">
        <v>16215.93</v>
      </c>
      <c r="L24" s="81">
        <v>4341.78</v>
      </c>
      <c r="M24" s="81">
        <v>256.35000000000002</v>
      </c>
      <c r="N24" s="81">
        <v>22042.23</v>
      </c>
      <c r="O24" s="81">
        <v>2840</v>
      </c>
      <c r="P24" s="81">
        <v>0</v>
      </c>
      <c r="Q24" s="81">
        <v>234</v>
      </c>
      <c r="R24" s="81">
        <v>1900</v>
      </c>
      <c r="S24" s="182" t="s">
        <v>948</v>
      </c>
      <c r="T24" s="10" t="str">
        <f>VLOOKUP(E24,'TB (H)'!$A$2:$B$279,2,0)</f>
        <v>RETURN ON SALES TRADING PRODUCTS</v>
      </c>
      <c r="AA24" s="43"/>
      <c r="AB24" s="272"/>
      <c r="AC24" s="43"/>
    </row>
    <row r="25" spans="1:29" x14ac:dyDescent="0.2">
      <c r="A25" s="211">
        <v>2022</v>
      </c>
      <c r="B25" s="212" t="s">
        <v>96</v>
      </c>
      <c r="C25" s="10">
        <v>1</v>
      </c>
      <c r="D25" s="149"/>
      <c r="E25" s="77" t="s">
        <v>353</v>
      </c>
      <c r="F25" s="71" t="s">
        <v>189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  <c r="P25" s="81">
        <v>0</v>
      </c>
      <c r="Q25" s="81">
        <v>0</v>
      </c>
      <c r="R25" s="81">
        <v>0</v>
      </c>
      <c r="S25" s="182" t="s">
        <v>948</v>
      </c>
      <c r="T25" s="10" t="str">
        <f>VLOOKUP(E25,'TB (H)'!$A$2:$B$279,2,0)</f>
        <v>REBATE ON SALES TRADING PRODUCTS</v>
      </c>
      <c r="AA25" s="43"/>
      <c r="AB25" s="272"/>
      <c r="AC25" s="43"/>
    </row>
    <row r="26" spans="1:29" x14ac:dyDescent="0.2">
      <c r="A26" s="211">
        <v>2023</v>
      </c>
      <c r="B26" s="212" t="s">
        <v>97</v>
      </c>
      <c r="C26" s="10">
        <v>2</v>
      </c>
      <c r="D26" s="149" t="s">
        <v>17</v>
      </c>
      <c r="E26" s="77" t="s">
        <v>354</v>
      </c>
      <c r="F26" s="71" t="s">
        <v>190</v>
      </c>
      <c r="G26" s="81">
        <v>-19851.62</v>
      </c>
      <c r="H26" s="81">
        <v>-9152.65</v>
      </c>
      <c r="I26" s="81">
        <v>-14985.74</v>
      </c>
      <c r="J26" s="81">
        <v>-505.6</v>
      </c>
      <c r="K26" s="81">
        <v>-10134.129999999999</v>
      </c>
      <c r="L26" s="81">
        <v>-5883.31</v>
      </c>
      <c r="M26" s="81">
        <v>-6352.45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182" t="s">
        <v>948</v>
      </c>
      <c r="T26" s="10" t="str">
        <f>VLOOKUP(E26,'TB (H)'!$A$2:$B$279,2,0)</f>
        <v>RECHARGE OUTGOING FREIGHT COST TRADING PRODUCTS (railway charges)</v>
      </c>
      <c r="AA26" s="43"/>
      <c r="AB26" s="272"/>
      <c r="AC26" s="43"/>
    </row>
    <row r="27" spans="1:29" x14ac:dyDescent="0.2">
      <c r="A27" s="211">
        <v>2024</v>
      </c>
      <c r="B27" s="212" t="s">
        <v>98</v>
      </c>
      <c r="C27" s="10">
        <v>3</v>
      </c>
      <c r="D27" s="149" t="s">
        <v>17</v>
      </c>
      <c r="E27" s="77" t="s">
        <v>355</v>
      </c>
      <c r="F27" s="71" t="s">
        <v>191</v>
      </c>
      <c r="G27" s="81">
        <v>-53593.46</v>
      </c>
      <c r="H27" s="81">
        <v>-76825.7</v>
      </c>
      <c r="I27" s="81">
        <v>-50089.97</v>
      </c>
      <c r="J27" s="81">
        <v>-36817.64</v>
      </c>
      <c r="K27" s="81">
        <v>-62222.86</v>
      </c>
      <c r="L27" s="81">
        <v>-30912.53</v>
      </c>
      <c r="M27" s="81">
        <v>-64940.75</v>
      </c>
      <c r="N27" s="81">
        <v>-19150.259999999998</v>
      </c>
      <c r="O27" s="81">
        <v>-22680.58</v>
      </c>
      <c r="P27" s="81">
        <v>-20628.18</v>
      </c>
      <c r="Q27" s="81">
        <v>-7548.56</v>
      </c>
      <c r="R27" s="81">
        <v>-10839.46</v>
      </c>
      <c r="S27" s="182" t="s">
        <v>948</v>
      </c>
      <c r="T27" s="10" t="str">
        <f>VLOOKUP(E27,'TB (H)'!$A$2:$B$279,2,0)</f>
        <v>RECHARGE OUTGOING FREIGHT COST TRADING PRODUCTS (freight)</v>
      </c>
      <c r="AA27" s="43"/>
      <c r="AB27" s="272"/>
      <c r="AC27" s="43"/>
    </row>
    <row r="28" spans="1:29" x14ac:dyDescent="0.2">
      <c r="A28" s="211"/>
      <c r="B28" s="212" t="s">
        <v>99</v>
      </c>
      <c r="C28" s="10">
        <v>4</v>
      </c>
      <c r="D28" s="149" t="s">
        <v>18</v>
      </c>
      <c r="E28" s="77" t="s">
        <v>356</v>
      </c>
      <c r="F28" s="71" t="s">
        <v>192</v>
      </c>
      <c r="G28" s="81">
        <v>-6205.71</v>
      </c>
      <c r="H28" s="81">
        <v>-1245.33</v>
      </c>
      <c r="I28" s="81">
        <v>-3858.37</v>
      </c>
      <c r="J28" s="81">
        <v>-1111.29</v>
      </c>
      <c r="K28" s="81">
        <v>-2438.5</v>
      </c>
      <c r="L28" s="81">
        <v>-747.44</v>
      </c>
      <c r="M28" s="81">
        <v>-751.04</v>
      </c>
      <c r="N28" s="81">
        <v>0</v>
      </c>
      <c r="O28" s="81">
        <v>0</v>
      </c>
      <c r="P28" s="81">
        <v>0</v>
      </c>
      <c r="Q28" s="81">
        <v>0</v>
      </c>
      <c r="R28" s="81">
        <v>0</v>
      </c>
      <c r="S28" s="182" t="s">
        <v>948</v>
      </c>
      <c r="T28" s="10" t="str">
        <f>VLOOKUP(E28,'TB (H)'!$A$2:$B$279,2,0)</f>
        <v>RECHARGE OUTGOING FREIGHT COST TRADING PRODUCTS (others)</v>
      </c>
      <c r="AA28" s="43"/>
      <c r="AB28" s="272"/>
      <c r="AC28" s="43"/>
    </row>
    <row r="29" spans="1:29" x14ac:dyDescent="0.2">
      <c r="A29" s="211"/>
      <c r="B29" s="212" t="s">
        <v>5</v>
      </c>
      <c r="C29" s="10">
        <v>5</v>
      </c>
      <c r="D29" s="149"/>
      <c r="E29" s="77" t="s">
        <v>357</v>
      </c>
      <c r="F29" s="71" t="s">
        <v>280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  <c r="P29" s="81">
        <v>0</v>
      </c>
      <c r="Q29" s="81">
        <v>0</v>
      </c>
      <c r="R29" s="81">
        <v>0</v>
      </c>
      <c r="S29" s="182" t="s">
        <v>948</v>
      </c>
      <c r="AA29" s="43"/>
      <c r="AB29" s="272"/>
      <c r="AC29" s="43"/>
    </row>
    <row r="30" spans="1:29" x14ac:dyDescent="0.2">
      <c r="A30" s="211"/>
      <c r="B30" s="212" t="s">
        <v>100</v>
      </c>
      <c r="C30" s="10">
        <v>6</v>
      </c>
      <c r="D30" s="149"/>
      <c r="E30" s="77" t="s">
        <v>466</v>
      </c>
      <c r="F30" s="71" t="s">
        <v>191</v>
      </c>
      <c r="G30" s="81">
        <v>0</v>
      </c>
      <c r="H30" s="81">
        <v>0</v>
      </c>
      <c r="I30" s="81">
        <v>0</v>
      </c>
      <c r="J30" s="81">
        <v>0</v>
      </c>
      <c r="K30" s="81">
        <v>0</v>
      </c>
      <c r="L30" s="81">
        <v>0</v>
      </c>
      <c r="M30" s="81">
        <v>0</v>
      </c>
      <c r="N30" s="81">
        <v>0</v>
      </c>
      <c r="O30" s="81">
        <v>0</v>
      </c>
      <c r="P30" s="81">
        <v>0</v>
      </c>
      <c r="Q30" s="81">
        <v>0</v>
      </c>
      <c r="R30" s="81">
        <v>0</v>
      </c>
      <c r="S30" s="182" t="s">
        <v>948</v>
      </c>
      <c r="AA30" s="43"/>
      <c r="AB30" s="272"/>
      <c r="AC30" s="43"/>
    </row>
    <row r="31" spans="1:29" x14ac:dyDescent="0.2">
      <c r="A31" s="211"/>
      <c r="B31" s="212" t="s">
        <v>101</v>
      </c>
      <c r="C31" s="10">
        <v>7</v>
      </c>
      <c r="D31" s="149"/>
      <c r="E31" s="77" t="s">
        <v>358</v>
      </c>
      <c r="F31" s="71" t="s">
        <v>193</v>
      </c>
      <c r="G31" s="81">
        <v>0</v>
      </c>
      <c r="H31" s="81">
        <v>0</v>
      </c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  <c r="P31" s="81">
        <v>0</v>
      </c>
      <c r="Q31" s="81">
        <v>0</v>
      </c>
      <c r="R31" s="81">
        <v>0</v>
      </c>
      <c r="S31" s="182" t="s">
        <v>948</v>
      </c>
      <c r="AA31" s="43"/>
      <c r="AB31" s="272"/>
      <c r="AC31" s="43"/>
    </row>
    <row r="32" spans="1:29" x14ac:dyDescent="0.2">
      <c r="A32" s="211"/>
      <c r="B32" s="212" t="s">
        <v>102</v>
      </c>
      <c r="C32" s="10">
        <v>8</v>
      </c>
      <c r="D32" s="149"/>
      <c r="E32" s="77" t="s">
        <v>467</v>
      </c>
      <c r="F32" s="71" t="s">
        <v>468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  <c r="P32" s="81">
        <v>0</v>
      </c>
      <c r="Q32" s="81">
        <v>0</v>
      </c>
      <c r="R32" s="81">
        <v>0</v>
      </c>
      <c r="S32" s="182" t="s">
        <v>948</v>
      </c>
      <c r="AA32" s="43"/>
      <c r="AB32" s="272"/>
      <c r="AC32" s="43"/>
    </row>
    <row r="33" spans="1:29" x14ac:dyDescent="0.2">
      <c r="A33" s="211"/>
      <c r="B33" s="212" t="s">
        <v>103</v>
      </c>
      <c r="C33" s="10">
        <v>9</v>
      </c>
      <c r="D33" s="149"/>
      <c r="E33" s="77" t="s">
        <v>469</v>
      </c>
      <c r="F33" s="71" t="s">
        <v>470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  <c r="P33" s="81">
        <v>0</v>
      </c>
      <c r="Q33" s="81">
        <v>0</v>
      </c>
      <c r="R33" s="81">
        <v>0</v>
      </c>
      <c r="S33" s="182" t="s">
        <v>948</v>
      </c>
      <c r="AA33" s="43"/>
      <c r="AB33" s="272"/>
      <c r="AC33" s="43"/>
    </row>
    <row r="34" spans="1:29" x14ac:dyDescent="0.2">
      <c r="A34" s="211"/>
      <c r="B34" s="212" t="s">
        <v>104</v>
      </c>
      <c r="C34" s="10">
        <v>10</v>
      </c>
      <c r="D34" s="149"/>
      <c r="E34" s="77" t="s">
        <v>359</v>
      </c>
      <c r="F34" s="71" t="s">
        <v>194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  <c r="P34" s="81">
        <v>0</v>
      </c>
      <c r="Q34" s="81">
        <v>0</v>
      </c>
      <c r="R34" s="81">
        <v>0</v>
      </c>
      <c r="S34" s="182" t="s">
        <v>948</v>
      </c>
      <c r="AA34" s="43"/>
      <c r="AB34" s="272"/>
      <c r="AC34" s="43"/>
    </row>
    <row r="35" spans="1:29" x14ac:dyDescent="0.2">
      <c r="A35" s="211"/>
      <c r="B35" s="212" t="s">
        <v>105</v>
      </c>
      <c r="C35" s="10">
        <v>11</v>
      </c>
      <c r="D35" s="149"/>
      <c r="E35" s="77" t="s">
        <v>471</v>
      </c>
      <c r="F35" s="71" t="s">
        <v>472</v>
      </c>
      <c r="G35" s="81">
        <v>0</v>
      </c>
      <c r="H35" s="81">
        <v>0</v>
      </c>
      <c r="I35" s="81">
        <v>0</v>
      </c>
      <c r="J35" s="81">
        <v>0</v>
      </c>
      <c r="K35" s="81">
        <v>0</v>
      </c>
      <c r="L35" s="81">
        <v>0</v>
      </c>
      <c r="M35" s="81">
        <v>0</v>
      </c>
      <c r="N35" s="81">
        <v>0</v>
      </c>
      <c r="O35" s="81">
        <v>0</v>
      </c>
      <c r="P35" s="81">
        <v>0</v>
      </c>
      <c r="Q35" s="81">
        <v>0</v>
      </c>
      <c r="R35" s="81">
        <v>0</v>
      </c>
      <c r="S35" s="182" t="s">
        <v>948</v>
      </c>
      <c r="AA35" s="43"/>
      <c r="AB35" s="272"/>
      <c r="AC35" s="43"/>
    </row>
    <row r="36" spans="1:29" ht="13.5" thickBot="1" x14ac:dyDescent="0.25">
      <c r="A36" s="214"/>
      <c r="B36" s="213" t="s">
        <v>106</v>
      </c>
      <c r="C36" s="249">
        <v>12</v>
      </c>
      <c r="D36" s="149"/>
      <c r="E36" s="77" t="s">
        <v>513</v>
      </c>
      <c r="F36" s="71" t="s">
        <v>514</v>
      </c>
      <c r="G36" s="81">
        <v>0</v>
      </c>
      <c r="H36" s="81">
        <v>0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  <c r="O36" s="81">
        <v>0</v>
      </c>
      <c r="P36" s="81">
        <v>0</v>
      </c>
      <c r="Q36" s="81">
        <v>0</v>
      </c>
      <c r="R36" s="81">
        <v>0</v>
      </c>
      <c r="S36" s="182" t="s">
        <v>948</v>
      </c>
      <c r="T36" s="10" t="str">
        <f>VLOOKUP(E36,'TB (H)'!$A$2:$B$279,2,0)</f>
        <v>PROVISION CLAIMS TRADING PRODUCT</v>
      </c>
      <c r="AA36" s="43"/>
      <c r="AB36" s="272"/>
      <c r="AC36" s="43"/>
    </row>
    <row r="37" spans="1:29" x14ac:dyDescent="0.2">
      <c r="B37" s="43"/>
      <c r="D37" s="149"/>
      <c r="E37" s="303" t="s">
        <v>1049</v>
      </c>
      <c r="F37" s="71" t="s">
        <v>1050</v>
      </c>
      <c r="G37" s="81">
        <v>0</v>
      </c>
      <c r="H37" s="81">
        <v>0</v>
      </c>
      <c r="I37" s="81">
        <v>0</v>
      </c>
      <c r="J37" s="81">
        <v>0</v>
      </c>
      <c r="K37" s="81">
        <v>0</v>
      </c>
      <c r="L37" s="81">
        <v>0</v>
      </c>
      <c r="M37" s="81">
        <v>0</v>
      </c>
      <c r="N37" s="81">
        <v>0</v>
      </c>
      <c r="O37" s="81">
        <v>0</v>
      </c>
      <c r="P37" s="81">
        <v>-395978.4</v>
      </c>
      <c r="Q37" s="81">
        <v>-257873.4</v>
      </c>
      <c r="R37" s="81">
        <v>-283284.89</v>
      </c>
      <c r="S37" s="182" t="s">
        <v>948</v>
      </c>
      <c r="AA37" s="43"/>
      <c r="AB37" s="272"/>
      <c r="AC37" s="43"/>
    </row>
    <row r="38" spans="1:29" x14ac:dyDescent="0.2">
      <c r="B38" s="43"/>
      <c r="D38" s="149"/>
      <c r="E38" s="303" t="s">
        <v>1051</v>
      </c>
      <c r="F38" s="71" t="s">
        <v>1052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-9323.6200000000008</v>
      </c>
      <c r="Q38" s="81">
        <v>0</v>
      </c>
      <c r="R38" s="81">
        <v>0</v>
      </c>
      <c r="S38" s="182" t="s">
        <v>948</v>
      </c>
      <c r="AA38" s="43"/>
      <c r="AB38" s="272"/>
      <c r="AC38" s="43"/>
    </row>
    <row r="39" spans="1:29" x14ac:dyDescent="0.2">
      <c r="B39" s="43"/>
      <c r="D39" s="149" t="s">
        <v>55</v>
      </c>
      <c r="E39" s="77" t="s">
        <v>360</v>
      </c>
      <c r="F39" s="71" t="s">
        <v>195</v>
      </c>
      <c r="G39" s="81">
        <v>-355224</v>
      </c>
      <c r="H39" s="81">
        <v>-453919.5</v>
      </c>
      <c r="I39" s="81">
        <v>-418977.4</v>
      </c>
      <c r="J39" s="81">
        <v>-410580.9</v>
      </c>
      <c r="K39" s="81">
        <v>-290094.59999999998</v>
      </c>
      <c r="L39" s="81">
        <v>-303924</v>
      </c>
      <c r="M39" s="81">
        <v>-315967.90000000002</v>
      </c>
      <c r="N39" s="81">
        <v>-226687.7</v>
      </c>
      <c r="O39" s="81">
        <v>-228655.3</v>
      </c>
      <c r="P39" s="81">
        <v>-244530.7</v>
      </c>
      <c r="Q39" s="81">
        <v>-181100.2</v>
      </c>
      <c r="R39" s="81">
        <v>-185375.4</v>
      </c>
      <c r="S39" s="182" t="s">
        <v>131</v>
      </c>
      <c r="T39" s="10" t="str">
        <f>VLOOKUP(E39,'TB (H)'!$A$2:$B$279,2,0)</f>
        <v>SCRAP SALES</v>
      </c>
      <c r="AA39" s="43"/>
      <c r="AB39" s="272"/>
      <c r="AC39" s="43"/>
    </row>
    <row r="40" spans="1:29" x14ac:dyDescent="0.2">
      <c r="D40" s="149" t="s">
        <v>55</v>
      </c>
      <c r="E40" s="77" t="s">
        <v>361</v>
      </c>
      <c r="F40" s="71" t="s">
        <v>196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0</v>
      </c>
      <c r="P40" s="81">
        <v>0</v>
      </c>
      <c r="Q40" s="81">
        <v>0</v>
      </c>
      <c r="R40" s="81">
        <v>0</v>
      </c>
      <c r="S40" s="182" t="s">
        <v>131</v>
      </c>
      <c r="T40" s="10" t="str">
        <f>VLOOKUP(E40,'TB (H)'!$A$2:$B$279,2,0)</f>
        <v>SCALE SALES</v>
      </c>
      <c r="AA40" s="43"/>
      <c r="AB40" s="272"/>
      <c r="AC40" s="43"/>
    </row>
    <row r="41" spans="1:29" x14ac:dyDescent="0.2">
      <c r="B41" s="43"/>
      <c r="D41" s="149" t="s">
        <v>55</v>
      </c>
      <c r="E41" s="77" t="s">
        <v>983</v>
      </c>
      <c r="F41" s="71" t="s">
        <v>984</v>
      </c>
      <c r="G41" s="81">
        <v>3197.16</v>
      </c>
      <c r="H41" s="81">
        <v>0</v>
      </c>
      <c r="I41" s="81">
        <v>0</v>
      </c>
      <c r="J41" s="81">
        <v>0</v>
      </c>
      <c r="K41" s="81">
        <v>0</v>
      </c>
      <c r="L41" s="81">
        <v>0</v>
      </c>
      <c r="M41" s="81">
        <v>0</v>
      </c>
      <c r="N41" s="81">
        <v>0</v>
      </c>
      <c r="O41" s="81">
        <v>0</v>
      </c>
      <c r="P41" s="81">
        <v>0</v>
      </c>
      <c r="Q41" s="81">
        <v>0</v>
      </c>
      <c r="R41" s="81">
        <v>0</v>
      </c>
      <c r="S41" s="182" t="s">
        <v>131</v>
      </c>
      <c r="AA41" s="43"/>
      <c r="AB41" s="272"/>
      <c r="AC41" s="43"/>
    </row>
    <row r="42" spans="1:29" x14ac:dyDescent="0.2">
      <c r="B42" s="43"/>
      <c r="D42" s="149" t="s">
        <v>22</v>
      </c>
      <c r="E42" s="77" t="s">
        <v>1057</v>
      </c>
      <c r="F42" s="71" t="s">
        <v>1058</v>
      </c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>
        <v>-329883.65000000002</v>
      </c>
      <c r="S42" s="182" t="s">
        <v>131</v>
      </c>
      <c r="T42" s="10" t="str">
        <f>VLOOKUP(E42,'TB (H)'!$A$2:$B$279,2,0)</f>
        <v>OTHER SERVICES REVENUES</v>
      </c>
      <c r="AA42" s="43"/>
      <c r="AB42" s="272"/>
      <c r="AC42" s="43"/>
    </row>
    <row r="43" spans="1:29" x14ac:dyDescent="0.2">
      <c r="B43" s="43"/>
      <c r="D43" s="149" t="s">
        <v>22</v>
      </c>
      <c r="E43" s="77" t="s">
        <v>362</v>
      </c>
      <c r="F43" s="71" t="s">
        <v>168</v>
      </c>
      <c r="G43" s="81">
        <v>0</v>
      </c>
      <c r="H43" s="81">
        <v>0</v>
      </c>
      <c r="I43" s="81">
        <v>0</v>
      </c>
      <c r="J43" s="81">
        <v>-15830.56</v>
      </c>
      <c r="K43" s="81">
        <v>-6869.14</v>
      </c>
      <c r="L43" s="81">
        <v>0</v>
      </c>
      <c r="M43" s="81">
        <v>-32149.08</v>
      </c>
      <c r="N43" s="81">
        <v>0</v>
      </c>
      <c r="O43" s="81">
        <v>0</v>
      </c>
      <c r="P43" s="81">
        <v>0</v>
      </c>
      <c r="Q43" s="81">
        <v>0</v>
      </c>
      <c r="R43" s="81">
        <v>-7623.24</v>
      </c>
      <c r="S43" s="182" t="s">
        <v>131</v>
      </c>
      <c r="T43" s="10" t="str">
        <f>VLOOKUP(E43,'TB (H)'!$A$2:$B$279,2,0)</f>
        <v>OTHER INCOMES</v>
      </c>
      <c r="AA43" s="43"/>
      <c r="AB43" s="272"/>
      <c r="AC43" s="43"/>
    </row>
    <row r="44" spans="1:29" x14ac:dyDescent="0.2">
      <c r="B44" s="43"/>
      <c r="D44" s="149"/>
      <c r="E44" s="77"/>
      <c r="F44" s="71"/>
      <c r="G44" s="81">
        <v>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0</v>
      </c>
      <c r="O44" s="81">
        <v>0</v>
      </c>
      <c r="P44" s="81">
        <v>0</v>
      </c>
      <c r="Q44" s="81">
        <v>0</v>
      </c>
      <c r="R44" s="81">
        <v>0</v>
      </c>
      <c r="S44" s="182"/>
      <c r="AA44" s="43"/>
      <c r="AB44" s="272"/>
      <c r="AC44" s="43"/>
    </row>
    <row r="45" spans="1:29" x14ac:dyDescent="0.2">
      <c r="B45" s="43"/>
      <c r="D45" s="149" t="s">
        <v>26</v>
      </c>
      <c r="E45" s="77" t="s">
        <v>365</v>
      </c>
      <c r="F45" s="71" t="s">
        <v>197</v>
      </c>
      <c r="G45" s="81">
        <v>22450570.809999999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0</v>
      </c>
      <c r="N45" s="81">
        <v>0</v>
      </c>
      <c r="O45" s="81">
        <v>0</v>
      </c>
      <c r="P45" s="81">
        <v>0</v>
      </c>
      <c r="Q45" s="81">
        <v>0</v>
      </c>
      <c r="R45" s="81">
        <v>0</v>
      </c>
      <c r="S45" s="182" t="s">
        <v>939</v>
      </c>
      <c r="T45" s="10" t="str">
        <f>VLOOKUP(E45,'TB (H)'!$A$2:$B$279,2,0)</f>
        <v>OPENING BALANCES RAW MATERIAL</v>
      </c>
      <c r="AA45" s="43"/>
      <c r="AB45" s="272"/>
      <c r="AC45" s="43"/>
    </row>
    <row r="46" spans="1:29" x14ac:dyDescent="0.2">
      <c r="B46" s="43"/>
      <c r="D46" s="149" t="s">
        <v>26</v>
      </c>
      <c r="E46" s="77" t="s">
        <v>366</v>
      </c>
      <c r="F46" s="71" t="s">
        <v>198</v>
      </c>
      <c r="G46" s="81">
        <v>-26330455</v>
      </c>
      <c r="H46" s="81">
        <v>-222595</v>
      </c>
      <c r="I46" s="81">
        <v>7595408.1799999997</v>
      </c>
      <c r="J46" s="81">
        <v>-1118796.25</v>
      </c>
      <c r="K46" s="81">
        <v>1082298.32</v>
      </c>
      <c r="L46" s="81">
        <v>-6307787.9400000004</v>
      </c>
      <c r="M46" s="81">
        <v>7207282.6200000001</v>
      </c>
      <c r="N46" s="81">
        <v>6078063.2300000004</v>
      </c>
      <c r="O46" s="81">
        <v>5426069.29</v>
      </c>
      <c r="P46" s="81">
        <v>-4212529.62</v>
      </c>
      <c r="Q46" s="81">
        <v>-230375.9</v>
      </c>
      <c r="R46" s="81">
        <v>-508321</v>
      </c>
      <c r="S46" s="182" t="s">
        <v>939</v>
      </c>
      <c r="T46" s="10" t="str">
        <f>VLOOKUP(E46,'TB (H)'!$A$2:$B$279,2,0)</f>
        <v>CLOSING BALANCES RAW MATERIAL</v>
      </c>
      <c r="AA46" s="43"/>
      <c r="AB46" s="272"/>
      <c r="AC46" s="43"/>
    </row>
    <row r="47" spans="1:29" x14ac:dyDescent="0.2">
      <c r="B47" s="43"/>
      <c r="D47" s="149" t="s">
        <v>26</v>
      </c>
      <c r="E47" s="77" t="s">
        <v>367</v>
      </c>
      <c r="F47" s="71" t="s">
        <v>199</v>
      </c>
      <c r="G47" s="81">
        <v>12290658.369999999</v>
      </c>
      <c r="H47" s="81">
        <v>10001734.529999999</v>
      </c>
      <c r="I47" s="81">
        <v>1471142.5</v>
      </c>
      <c r="J47" s="81">
        <v>10909089.189999999</v>
      </c>
      <c r="K47" s="81">
        <v>5653076.3300000001</v>
      </c>
      <c r="L47" s="81">
        <v>14990304.369999999</v>
      </c>
      <c r="M47" s="81">
        <v>752453.17</v>
      </c>
      <c r="N47" s="81">
        <v>-105373.98</v>
      </c>
      <c r="O47" s="81">
        <v>566866.67000000004</v>
      </c>
      <c r="P47" s="81">
        <v>9682097.5099999998</v>
      </c>
      <c r="Q47" s="81">
        <v>5248107</v>
      </c>
      <c r="R47" s="81">
        <v>4559015.32</v>
      </c>
      <c r="S47" s="182" t="s">
        <v>939</v>
      </c>
      <c r="T47" s="10" t="str">
        <f>VLOOKUP(E47,'TB (H)'!$A$2:$B$279,2,0)</f>
        <v>SLABS PURCHASE</v>
      </c>
      <c r="AA47" s="43"/>
      <c r="AB47" s="272"/>
      <c r="AC47" s="43"/>
    </row>
    <row r="48" spans="1:29" x14ac:dyDescent="0.2">
      <c r="B48" s="43"/>
      <c r="D48" s="149" t="s">
        <v>1025</v>
      </c>
      <c r="E48" s="77" t="s">
        <v>1023</v>
      </c>
      <c r="F48" s="71" t="s">
        <v>1024</v>
      </c>
      <c r="G48" s="81">
        <v>0</v>
      </c>
      <c r="H48" s="81">
        <v>0</v>
      </c>
      <c r="I48" s="81">
        <v>-8785427.1899999995</v>
      </c>
      <c r="J48" s="81">
        <v>0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1">
        <v>0</v>
      </c>
      <c r="R48" s="81">
        <v>0</v>
      </c>
      <c r="S48" s="182"/>
      <c r="AA48" s="43"/>
      <c r="AB48" s="272"/>
      <c r="AC48" s="43"/>
    </row>
    <row r="49" spans="2:29" x14ac:dyDescent="0.2">
      <c r="B49" s="43"/>
      <c r="D49" s="149" t="s">
        <v>26</v>
      </c>
      <c r="E49" s="77" t="s">
        <v>368</v>
      </c>
      <c r="F49" s="71" t="s">
        <v>200</v>
      </c>
      <c r="G49" s="81">
        <v>92518.52</v>
      </c>
      <c r="H49" s="81">
        <v>74916.929999999993</v>
      </c>
      <c r="I49" s="81">
        <v>73075.039999999994</v>
      </c>
      <c r="J49" s="81">
        <v>77266.149999999994</v>
      </c>
      <c r="K49" s="81">
        <v>32238.92</v>
      </c>
      <c r="L49" s="81">
        <v>110709.03</v>
      </c>
      <c r="M49" s="81">
        <v>-2723.36</v>
      </c>
      <c r="N49" s="81">
        <v>5748.37</v>
      </c>
      <c r="O49" s="81">
        <v>2018.3</v>
      </c>
      <c r="P49" s="81">
        <v>102686.37</v>
      </c>
      <c r="Q49" s="81">
        <v>49404.9</v>
      </c>
      <c r="R49" s="81">
        <v>21504.68</v>
      </c>
      <c r="S49" s="182" t="s">
        <v>939</v>
      </c>
      <c r="T49" s="10" t="str">
        <f>VLOOKUP(E49,'TB (H)'!$A$2:$B$279,2,0)</f>
        <v>INBOUND TRANSPORTS ( TRUCK, TRAIN, VESSEL…)</v>
      </c>
      <c r="AA49" s="43"/>
      <c r="AB49" s="272"/>
      <c r="AC49" s="43"/>
    </row>
    <row r="50" spans="2:29" x14ac:dyDescent="0.2">
      <c r="D50" s="149" t="s">
        <v>26</v>
      </c>
      <c r="E50" s="77" t="s">
        <v>473</v>
      </c>
      <c r="F50" s="71" t="s">
        <v>474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>
        <v>0</v>
      </c>
      <c r="S50" s="182" t="s">
        <v>939</v>
      </c>
      <c r="T50" s="10" t="str">
        <f>VLOOKUP(E50,'TB (H)'!$A$2:$B$279,2,0)</f>
        <v>CUSTOM CLEARANCE AND DUTY EXPENSES</v>
      </c>
      <c r="AA50" s="43"/>
      <c r="AB50" s="272"/>
      <c r="AC50" s="43"/>
    </row>
    <row r="51" spans="2:29" x14ac:dyDescent="0.2">
      <c r="B51" s="43"/>
      <c r="D51" s="149" t="s">
        <v>26</v>
      </c>
      <c r="E51" s="77" t="s">
        <v>369</v>
      </c>
      <c r="F51" s="71" t="s">
        <v>201</v>
      </c>
      <c r="G51" s="81">
        <v>63355.5</v>
      </c>
      <c r="H51" s="81">
        <v>1637.69</v>
      </c>
      <c r="I51" s="81">
        <v>55221.279999999999</v>
      </c>
      <c r="J51" s="81">
        <v>53515.66</v>
      </c>
      <c r="K51" s="81">
        <v>34363.71</v>
      </c>
      <c r="L51" s="81">
        <v>30556.84</v>
      </c>
      <c r="M51" s="81">
        <v>80182.7</v>
      </c>
      <c r="N51" s="81">
        <v>11508.85</v>
      </c>
      <c r="O51" s="81">
        <v>5105.74</v>
      </c>
      <c r="P51" s="81">
        <v>10308.73</v>
      </c>
      <c r="Q51" s="81">
        <v>49954.5</v>
      </c>
      <c r="R51" s="81">
        <v>47942</v>
      </c>
      <c r="S51" s="182" t="s">
        <v>939</v>
      </c>
      <c r="T51" s="10" t="str">
        <f>VLOOKUP(E51,'TB (H)'!$A$2:$B$279,2,0)</f>
        <v>LOADING AND UNLOADING EXPENSES</v>
      </c>
      <c r="AA51" s="43"/>
      <c r="AB51" s="272"/>
      <c r="AC51" s="43"/>
    </row>
    <row r="52" spans="2:29" x14ac:dyDescent="0.2">
      <c r="B52" s="43"/>
      <c r="D52" s="149"/>
      <c r="E52" s="77"/>
      <c r="F52" s="71"/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0</v>
      </c>
      <c r="S52" s="182"/>
      <c r="AA52" s="43"/>
      <c r="AB52" s="272"/>
      <c r="AC52" s="43"/>
    </row>
    <row r="53" spans="2:29" x14ac:dyDescent="0.2">
      <c r="D53" s="149" t="s">
        <v>282</v>
      </c>
      <c r="E53" s="77" t="s">
        <v>384</v>
      </c>
      <c r="F53" s="71" t="s">
        <v>213</v>
      </c>
      <c r="G53" s="81">
        <v>541014.19999999995</v>
      </c>
      <c r="H53" s="81">
        <v>424322.71</v>
      </c>
      <c r="I53" s="81">
        <v>389024.96</v>
      </c>
      <c r="J53" s="81">
        <v>351393.13</v>
      </c>
      <c r="K53" s="81">
        <v>422292.45</v>
      </c>
      <c r="L53" s="81">
        <v>338714.36</v>
      </c>
      <c r="M53" s="81">
        <v>396946.85</v>
      </c>
      <c r="N53" s="81">
        <v>225836.83</v>
      </c>
      <c r="O53" s="81">
        <v>259516.69</v>
      </c>
      <c r="P53" s="81">
        <v>223804.26</v>
      </c>
      <c r="Q53" s="81">
        <v>194499</v>
      </c>
      <c r="R53" s="81">
        <v>176448.82</v>
      </c>
      <c r="S53" s="182" t="s">
        <v>944</v>
      </c>
      <c r="T53" s="10" t="str">
        <f>VLOOKUP(E53,'TB (H)'!$A$2:$B$279,2,0)</f>
        <v>OUTBOUND TRANSPORTS MATERIALS OWN PRODUCTION (TRUCK)</v>
      </c>
      <c r="AA53" s="43"/>
      <c r="AB53" s="272"/>
      <c r="AC53" s="43"/>
    </row>
    <row r="54" spans="2:29" x14ac:dyDescent="0.2">
      <c r="D54" s="149" t="s">
        <v>282</v>
      </c>
      <c r="E54" s="77" t="s">
        <v>383</v>
      </c>
      <c r="F54" s="71" t="s">
        <v>521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81">
        <v>0</v>
      </c>
      <c r="S54" s="182" t="s">
        <v>944</v>
      </c>
      <c r="T54" s="10" t="str">
        <f>VLOOKUP(E54,'TB (H)'!$A$2:$B$279,2,0)</f>
        <v>OUTBOUND TRANSPORTS MATERIALS OWN PRODUCTION (VESSEL )</v>
      </c>
      <c r="AA54" s="43"/>
      <c r="AB54" s="272"/>
      <c r="AC54" s="43"/>
    </row>
    <row r="55" spans="2:29" x14ac:dyDescent="0.2">
      <c r="D55" s="149" t="s">
        <v>282</v>
      </c>
      <c r="E55" s="77" t="s">
        <v>854</v>
      </c>
      <c r="F55" s="71" t="s">
        <v>855</v>
      </c>
      <c r="G55" s="81">
        <v>36355.42</v>
      </c>
      <c r="H55" s="81">
        <v>29427.39</v>
      </c>
      <c r="I55" s="81">
        <v>20060.080000000002</v>
      </c>
      <c r="J55" s="81">
        <v>22178.51</v>
      </c>
      <c r="K55" s="81">
        <v>18297.78</v>
      </c>
      <c r="L55" s="81">
        <v>15029.22</v>
      </c>
      <c r="M55" s="81">
        <v>18443.63</v>
      </c>
      <c r="N55" s="81">
        <v>12500.31</v>
      </c>
      <c r="O55" s="81">
        <v>6167.54</v>
      </c>
      <c r="P55" s="81">
        <v>18131.61</v>
      </c>
      <c r="Q55" s="81">
        <v>-8216.0499999999993</v>
      </c>
      <c r="R55" s="81">
        <v>3098.78</v>
      </c>
      <c r="S55" s="182" t="s">
        <v>944</v>
      </c>
      <c r="T55" s="10" t="str">
        <f>VLOOKUP(E55,'TB (H)'!$A$2:$B$279,2,0)</f>
        <v>EXPORT CHARGES FOR OUTBOUND TRANSPORTS (TRUCK)</v>
      </c>
      <c r="AA55" s="43"/>
      <c r="AB55" s="272"/>
      <c r="AC55" s="43"/>
    </row>
    <row r="56" spans="2:29" x14ac:dyDescent="0.2">
      <c r="B56" s="43"/>
      <c r="D56" s="149" t="s">
        <v>39</v>
      </c>
      <c r="E56" s="77" t="s">
        <v>389</v>
      </c>
      <c r="F56" s="71" t="s">
        <v>217</v>
      </c>
      <c r="G56" s="81">
        <v>15832.47</v>
      </c>
      <c r="H56" s="81">
        <v>15832.47</v>
      </c>
      <c r="I56" s="81">
        <v>15832.47</v>
      </c>
      <c r="J56" s="81">
        <v>-36484.699999999997</v>
      </c>
      <c r="K56" s="81">
        <v>16005.56</v>
      </c>
      <c r="L56" s="81">
        <v>15832.47</v>
      </c>
      <c r="M56" s="81">
        <v>15832.47</v>
      </c>
      <c r="N56" s="81">
        <v>15832.47</v>
      </c>
      <c r="O56" s="81">
        <v>15882.52</v>
      </c>
      <c r="P56" s="81">
        <v>15832.47</v>
      </c>
      <c r="Q56" s="81">
        <v>15832.5</v>
      </c>
      <c r="R56" s="81">
        <v>15832.47</v>
      </c>
      <c r="S56" s="182" t="s">
        <v>944</v>
      </c>
      <c r="T56" s="10" t="str">
        <f>VLOOKUP(E56,'TB (H)'!$A$2:$B$279,2,0)</f>
        <v>INSURANCE ON CREDIT</v>
      </c>
      <c r="AA56" s="43"/>
      <c r="AB56" s="272"/>
      <c r="AC56" s="43"/>
    </row>
    <row r="57" spans="2:29" x14ac:dyDescent="0.2">
      <c r="B57" s="43"/>
      <c r="D57" s="149" t="s">
        <v>38</v>
      </c>
      <c r="E57" s="77" t="s">
        <v>387</v>
      </c>
      <c r="F57" s="71" t="s">
        <v>216</v>
      </c>
      <c r="G57" s="81">
        <v>35411.769999999997</v>
      </c>
      <c r="H57" s="81">
        <v>29020.74</v>
      </c>
      <c r="I57" s="81">
        <v>24753.7</v>
      </c>
      <c r="J57" s="81">
        <v>24654.639999999999</v>
      </c>
      <c r="K57" s="81">
        <v>29481.22</v>
      </c>
      <c r="L57" s="81">
        <v>12654.99</v>
      </c>
      <c r="M57" s="81">
        <v>16336.27</v>
      </c>
      <c r="N57" s="81">
        <v>9229.98</v>
      </c>
      <c r="O57" s="81">
        <v>7820.35</v>
      </c>
      <c r="P57" s="81">
        <v>7971.19</v>
      </c>
      <c r="Q57" s="81">
        <v>-64031.07</v>
      </c>
      <c r="R57" s="81">
        <v>-9057.59</v>
      </c>
      <c r="S57" s="182" t="s">
        <v>944</v>
      </c>
      <c r="T57" s="10" t="str">
        <f>VLOOKUP(E57,'TB (H)'!$A$2:$B$279,2,0)</f>
        <v>COMMISSION ON SALES MATERIALS OWN PRODUCTION</v>
      </c>
      <c r="AA57" s="43"/>
      <c r="AB57" s="272"/>
      <c r="AC57" s="43"/>
    </row>
    <row r="58" spans="2:29" x14ac:dyDescent="0.2">
      <c r="B58" s="43"/>
      <c r="D58" s="149"/>
      <c r="E58" s="77"/>
      <c r="F58" s="71"/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81">
        <v>0</v>
      </c>
      <c r="S58" s="182"/>
      <c r="AA58" s="43"/>
      <c r="AB58" s="272"/>
      <c r="AC58" s="43"/>
    </row>
    <row r="59" spans="2:29" x14ac:dyDescent="0.2">
      <c r="B59" s="43"/>
      <c r="D59" s="149"/>
      <c r="E59" s="77" t="s">
        <v>377</v>
      </c>
      <c r="F59" s="71" t="s">
        <v>209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>
        <v>0</v>
      </c>
      <c r="O59" s="81">
        <v>0</v>
      </c>
      <c r="P59" s="81">
        <v>0</v>
      </c>
      <c r="Q59" s="81">
        <v>0</v>
      </c>
      <c r="R59" s="81">
        <v>0</v>
      </c>
      <c r="S59" s="182" t="s">
        <v>948</v>
      </c>
      <c r="AA59" s="43"/>
      <c r="AB59" s="272"/>
      <c r="AC59" s="43"/>
    </row>
    <row r="60" spans="2:29" x14ac:dyDescent="0.2">
      <c r="B60" s="43"/>
      <c r="D60" s="149"/>
      <c r="E60" s="77" t="s">
        <v>378</v>
      </c>
      <c r="F60" s="71" t="s">
        <v>176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81">
        <v>0</v>
      </c>
      <c r="S60" s="182" t="s">
        <v>948</v>
      </c>
      <c r="AA60" s="43"/>
      <c r="AB60" s="272"/>
      <c r="AC60" s="43"/>
    </row>
    <row r="61" spans="2:29" x14ac:dyDescent="0.2">
      <c r="B61" s="43"/>
      <c r="D61" s="149"/>
      <c r="E61" s="77" t="s">
        <v>379</v>
      </c>
      <c r="F61" s="71" t="s">
        <v>177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182" t="s">
        <v>948</v>
      </c>
      <c r="AA61" s="43"/>
      <c r="AB61" s="272"/>
      <c r="AC61" s="43"/>
    </row>
    <row r="62" spans="2:29" x14ac:dyDescent="0.2">
      <c r="B62" s="43"/>
      <c r="D62" s="149"/>
      <c r="E62" s="77" t="s">
        <v>380</v>
      </c>
      <c r="F62" s="71" t="s">
        <v>210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81">
        <v>0</v>
      </c>
      <c r="S62" s="182" t="s">
        <v>948</v>
      </c>
      <c r="AA62" s="43"/>
      <c r="AB62" s="272"/>
      <c r="AC62" s="43"/>
    </row>
    <row r="63" spans="2:29" x14ac:dyDescent="0.2">
      <c r="B63" s="43"/>
      <c r="D63" s="149"/>
      <c r="E63" s="77" t="s">
        <v>381</v>
      </c>
      <c r="F63" s="71" t="s">
        <v>211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81">
        <v>0</v>
      </c>
      <c r="S63" s="182" t="s">
        <v>948</v>
      </c>
      <c r="AA63" s="43"/>
      <c r="AB63" s="272"/>
      <c r="AC63" s="43"/>
    </row>
    <row r="64" spans="2:29" x14ac:dyDescent="0.2">
      <c r="B64" s="43"/>
      <c r="D64" s="149"/>
      <c r="E64" s="77" t="s">
        <v>382</v>
      </c>
      <c r="F64" s="71" t="s">
        <v>212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182" t="s">
        <v>948</v>
      </c>
      <c r="AA64" s="43"/>
      <c r="AB64" s="272"/>
      <c r="AC64" s="43"/>
    </row>
    <row r="65" spans="1:29" x14ac:dyDescent="0.2">
      <c r="B65" s="43"/>
      <c r="D65" s="149"/>
      <c r="E65" s="77" t="s">
        <v>475</v>
      </c>
      <c r="F65" s="71" t="s">
        <v>476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>
        <v>0</v>
      </c>
      <c r="O65" s="81">
        <v>0</v>
      </c>
      <c r="P65" s="81">
        <v>0</v>
      </c>
      <c r="Q65" s="81">
        <v>0</v>
      </c>
      <c r="R65" s="81">
        <v>0</v>
      </c>
      <c r="S65" s="182" t="s">
        <v>948</v>
      </c>
      <c r="AA65" s="43"/>
      <c r="AB65" s="272"/>
      <c r="AC65" s="43"/>
    </row>
    <row r="66" spans="1:29" x14ac:dyDescent="0.2">
      <c r="B66" s="43"/>
      <c r="D66" s="149"/>
      <c r="E66" s="77" t="s">
        <v>478</v>
      </c>
      <c r="F66" s="71" t="s">
        <v>284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  <c r="N66" s="81">
        <v>0</v>
      </c>
      <c r="O66" s="81">
        <v>0</v>
      </c>
      <c r="P66" s="81">
        <v>0</v>
      </c>
      <c r="Q66" s="81">
        <v>0</v>
      </c>
      <c r="R66" s="81">
        <v>0</v>
      </c>
      <c r="S66" s="182" t="s">
        <v>948</v>
      </c>
      <c r="AA66" s="43"/>
      <c r="AB66" s="272"/>
      <c r="AC66" s="43"/>
    </row>
    <row r="67" spans="1:29" x14ac:dyDescent="0.2">
      <c r="B67" s="43"/>
      <c r="D67" s="149"/>
      <c r="E67" s="77" t="s">
        <v>479</v>
      </c>
      <c r="F67" s="71" t="s">
        <v>477</v>
      </c>
      <c r="G67" s="81">
        <v>0</v>
      </c>
      <c r="H67" s="81">
        <v>0</v>
      </c>
      <c r="I67" s="81">
        <v>0</v>
      </c>
      <c r="J67" s="81">
        <v>0</v>
      </c>
      <c r="K67" s="81">
        <v>0</v>
      </c>
      <c r="L67" s="81">
        <v>0</v>
      </c>
      <c r="M67" s="81">
        <v>0</v>
      </c>
      <c r="N67" s="81">
        <v>0</v>
      </c>
      <c r="O67" s="81">
        <v>0</v>
      </c>
      <c r="P67" s="81">
        <v>0</v>
      </c>
      <c r="Q67" s="81">
        <v>0</v>
      </c>
      <c r="R67" s="81">
        <v>0</v>
      </c>
      <c r="S67" s="182" t="s">
        <v>948</v>
      </c>
      <c r="AA67" s="43"/>
      <c r="AB67" s="272"/>
      <c r="AC67" s="43"/>
    </row>
    <row r="68" spans="1:29" x14ac:dyDescent="0.2">
      <c r="B68" s="43"/>
      <c r="D68" s="149"/>
      <c r="E68" s="77" t="s">
        <v>480</v>
      </c>
      <c r="F68" s="71" t="s">
        <v>476</v>
      </c>
      <c r="G68" s="81">
        <v>0</v>
      </c>
      <c r="H68" s="81">
        <v>0</v>
      </c>
      <c r="I68" s="81">
        <v>0</v>
      </c>
      <c r="J68" s="81">
        <v>0</v>
      </c>
      <c r="K68" s="81">
        <v>0</v>
      </c>
      <c r="L68" s="81">
        <v>0</v>
      </c>
      <c r="M68" s="81">
        <v>0</v>
      </c>
      <c r="N68" s="81">
        <v>0</v>
      </c>
      <c r="O68" s="81">
        <v>0</v>
      </c>
      <c r="P68" s="81">
        <v>0</v>
      </c>
      <c r="Q68" s="81">
        <v>0</v>
      </c>
      <c r="R68" s="81">
        <v>0</v>
      </c>
      <c r="S68" s="182" t="s">
        <v>948</v>
      </c>
      <c r="AA68" s="43"/>
      <c r="AB68" s="272"/>
      <c r="AC68" s="43"/>
    </row>
    <row r="69" spans="1:29" x14ac:dyDescent="0.2">
      <c r="B69" s="43"/>
      <c r="D69" s="149"/>
      <c r="E69" s="77" t="s">
        <v>788</v>
      </c>
      <c r="F69" s="71" t="s">
        <v>789</v>
      </c>
      <c r="G69" s="81">
        <v>0</v>
      </c>
      <c r="H69" s="81">
        <v>0</v>
      </c>
      <c r="I69" s="81">
        <v>0</v>
      </c>
      <c r="J69" s="81">
        <v>0</v>
      </c>
      <c r="K69" s="81">
        <v>0</v>
      </c>
      <c r="L69" s="81">
        <v>0</v>
      </c>
      <c r="M69" s="81">
        <v>0</v>
      </c>
      <c r="N69" s="81">
        <v>0</v>
      </c>
      <c r="O69" s="81">
        <v>0</v>
      </c>
      <c r="P69" s="81">
        <v>0</v>
      </c>
      <c r="Q69" s="81">
        <v>0</v>
      </c>
      <c r="R69" s="81">
        <v>0</v>
      </c>
      <c r="S69" s="182" t="s">
        <v>948</v>
      </c>
      <c r="T69" s="10" t="str">
        <f>VLOOKUP(E69,'TB (H)'!$A$2:$B$279,2,0)</f>
        <v>OUTBOUND TRANSPORTS TRADED PRODUCT FROM PORT (VESSEL)</v>
      </c>
      <c r="AA69" s="43"/>
      <c r="AB69" s="272"/>
      <c r="AC69" s="43"/>
    </row>
    <row r="70" spans="1:29" x14ac:dyDescent="0.2">
      <c r="B70" s="43"/>
      <c r="D70" s="149"/>
      <c r="E70" s="77" t="s">
        <v>385</v>
      </c>
      <c r="F70" s="71" t="s">
        <v>214</v>
      </c>
      <c r="G70" s="81">
        <v>3230.1</v>
      </c>
      <c r="H70" s="81">
        <v>31705</v>
      </c>
      <c r="I70" s="81">
        <v>8770</v>
      </c>
      <c r="J70" s="81">
        <v>15975</v>
      </c>
      <c r="K70" s="81">
        <v>27234.99</v>
      </c>
      <c r="L70" s="81">
        <v>19099.990000000002</v>
      </c>
      <c r="M70" s="81">
        <v>27306.97</v>
      </c>
      <c r="N70" s="81">
        <v>15979.99</v>
      </c>
      <c r="O70" s="81">
        <v>13191.69</v>
      </c>
      <c r="P70" s="81">
        <v>10125.74</v>
      </c>
      <c r="Q70" s="81">
        <v>6945.58</v>
      </c>
      <c r="R70" s="81">
        <v>12835</v>
      </c>
      <c r="S70" s="182" t="s">
        <v>948</v>
      </c>
      <c r="T70" s="10" t="str">
        <f>VLOOKUP(E70,'TB (H)'!$A$2:$B$279,2,0)</f>
        <v>OUTBOUND TRANSPORTS TRADED PRODUCT FROM PORT (TRUCK)</v>
      </c>
      <c r="AA70" s="43"/>
      <c r="AB70" s="272"/>
      <c r="AC70" s="43"/>
    </row>
    <row r="71" spans="1:29" x14ac:dyDescent="0.2">
      <c r="B71" s="43"/>
      <c r="D71" s="149"/>
      <c r="E71" s="77" t="s">
        <v>386</v>
      </c>
      <c r="F71" s="71" t="s">
        <v>215</v>
      </c>
      <c r="G71" s="81">
        <v>0</v>
      </c>
      <c r="H71" s="81">
        <v>0</v>
      </c>
      <c r="I71" s="81">
        <v>0</v>
      </c>
      <c r="J71" s="81">
        <v>0</v>
      </c>
      <c r="K71" s="81">
        <v>0</v>
      </c>
      <c r="L71" s="81">
        <v>0</v>
      </c>
      <c r="M71" s="81">
        <v>0</v>
      </c>
      <c r="N71" s="81">
        <v>0</v>
      </c>
      <c r="O71" s="81">
        <v>0</v>
      </c>
      <c r="P71" s="81">
        <v>0</v>
      </c>
      <c r="Q71" s="81">
        <v>0</v>
      </c>
      <c r="R71" s="81">
        <v>0</v>
      </c>
      <c r="S71" s="182" t="s">
        <v>948</v>
      </c>
      <c r="AA71" s="43"/>
      <c r="AB71" s="272"/>
      <c r="AC71" s="43"/>
    </row>
    <row r="72" spans="1:29" x14ac:dyDescent="0.2">
      <c r="B72" s="43"/>
      <c r="D72" s="149"/>
      <c r="E72" s="77" t="s">
        <v>515</v>
      </c>
      <c r="F72" s="71" t="s">
        <v>516</v>
      </c>
      <c r="G72" s="81">
        <v>2609943.39</v>
      </c>
      <c r="H72" s="81">
        <v>0</v>
      </c>
      <c r="I72" s="81">
        <v>0</v>
      </c>
      <c r="J72" s="81">
        <v>0</v>
      </c>
      <c r="K72" s="81">
        <v>0</v>
      </c>
      <c r="L72" s="81">
        <v>0</v>
      </c>
      <c r="M72" s="81">
        <v>0</v>
      </c>
      <c r="N72" s="81">
        <v>0</v>
      </c>
      <c r="O72" s="81">
        <v>0</v>
      </c>
      <c r="P72" s="81">
        <v>0</v>
      </c>
      <c r="Q72" s="81">
        <v>0</v>
      </c>
      <c r="R72" s="81">
        <v>0</v>
      </c>
      <c r="S72" s="182" t="s">
        <v>948</v>
      </c>
      <c r="T72" s="10" t="str">
        <f>VLOOKUP(E72,'TB (H)'!$A$2:$B$279,2,0)</f>
        <v>OPENING BALANCES TRADING PRODUCTS</v>
      </c>
      <c r="AA72" s="43"/>
      <c r="AB72" s="272"/>
      <c r="AC72" s="43"/>
    </row>
    <row r="73" spans="1:29" x14ac:dyDescent="0.2">
      <c r="A73" s="215"/>
      <c r="B73" s="212"/>
      <c r="D73" s="149"/>
      <c r="E73" s="77" t="s">
        <v>517</v>
      </c>
      <c r="F73" s="71" t="s">
        <v>518</v>
      </c>
      <c r="G73" s="81">
        <v>-2410963.98</v>
      </c>
      <c r="H73" s="81">
        <v>-629709.21</v>
      </c>
      <c r="I73" s="81">
        <v>-1252221.2</v>
      </c>
      <c r="J73" s="81">
        <v>911210.15</v>
      </c>
      <c r="K73" s="81">
        <v>-471113.96</v>
      </c>
      <c r="L73" s="81">
        <v>904811.97</v>
      </c>
      <c r="M73" s="81">
        <v>946604.98</v>
      </c>
      <c r="N73" s="81">
        <v>614580.41</v>
      </c>
      <c r="O73" s="81">
        <v>290919.92</v>
      </c>
      <c r="P73" s="81">
        <v>455561.19</v>
      </c>
      <c r="Q73" s="81">
        <v>309237</v>
      </c>
      <c r="R73" s="81">
        <v>331082.8</v>
      </c>
      <c r="S73" s="182" t="s">
        <v>948</v>
      </c>
      <c r="T73" s="10" t="str">
        <f>VLOOKUP(E73,'TB (H)'!$A$2:$B$279,2,0)</f>
        <v>CLOSING BALANCES TRADING PRODUCTS</v>
      </c>
      <c r="AA73" s="43"/>
      <c r="AB73" s="272"/>
      <c r="AC73" s="43"/>
    </row>
    <row r="74" spans="1:29" x14ac:dyDescent="0.2">
      <c r="B74" s="43"/>
      <c r="D74" s="149" t="s">
        <v>950</v>
      </c>
      <c r="E74" s="77" t="s">
        <v>519</v>
      </c>
      <c r="F74" s="71" t="s">
        <v>520</v>
      </c>
      <c r="G74" s="81">
        <v>0</v>
      </c>
      <c r="H74" s="81">
        <v>28547.83</v>
      </c>
      <c r="I74" s="81">
        <v>18076.28</v>
      </c>
      <c r="J74" s="81">
        <v>44222.77</v>
      </c>
      <c r="K74" s="81">
        <v>21064.79</v>
      </c>
      <c r="L74" s="81">
        <v>821.4</v>
      </c>
      <c r="M74" s="81">
        <v>0</v>
      </c>
      <c r="N74" s="81">
        <v>0</v>
      </c>
      <c r="O74" s="81">
        <v>0</v>
      </c>
      <c r="P74" s="81">
        <v>0</v>
      </c>
      <c r="Q74" s="81">
        <v>0</v>
      </c>
      <c r="R74" s="81">
        <v>0</v>
      </c>
      <c r="S74" s="182" t="s">
        <v>948</v>
      </c>
      <c r="T74" s="10" t="str">
        <f>VLOOKUP(E74,'TB (H)'!$A$2:$B$279,2,0)</f>
        <v>INGOING FREIGHT COST TRADING PRODUCT PURCHASE (vessel)</v>
      </c>
      <c r="AA74" s="43"/>
      <c r="AB74" s="272"/>
      <c r="AC74" s="43"/>
    </row>
    <row r="75" spans="1:29" x14ac:dyDescent="0.2">
      <c r="B75" s="43"/>
      <c r="D75" s="149" t="s">
        <v>949</v>
      </c>
      <c r="E75" s="77" t="s">
        <v>512</v>
      </c>
      <c r="F75" s="71" t="s">
        <v>525</v>
      </c>
      <c r="G75" s="81">
        <v>1609182.16</v>
      </c>
      <c r="H75" s="81">
        <v>2904500.98</v>
      </c>
      <c r="I75" s="81">
        <v>2869615.77</v>
      </c>
      <c r="J75" s="81">
        <v>654014.02</v>
      </c>
      <c r="K75" s="81">
        <v>2632730.56</v>
      </c>
      <c r="L75" s="81">
        <v>226579</v>
      </c>
      <c r="M75" s="81">
        <v>406657.56</v>
      </c>
      <c r="N75" s="81">
        <v>193650.04</v>
      </c>
      <c r="O75" s="81">
        <v>370074.76</v>
      </c>
      <c r="P75" s="81">
        <v>1151405.5</v>
      </c>
      <c r="Q75" s="81">
        <v>66641.600000000006</v>
      </c>
      <c r="R75" s="81">
        <v>105645.87</v>
      </c>
      <c r="S75" s="182" t="s">
        <v>948</v>
      </c>
      <c r="T75" s="10" t="str">
        <f>VLOOKUP(E75,'TB (H)'!$A$2:$B$279,2,0)</f>
        <v>TRADING PRODUCT PURCHASE</v>
      </c>
      <c r="AA75" s="43"/>
      <c r="AB75" s="272"/>
      <c r="AC75" s="43"/>
    </row>
    <row r="76" spans="1:29" x14ac:dyDescent="0.2">
      <c r="B76" s="43"/>
      <c r="D76" s="149"/>
      <c r="E76" s="77"/>
      <c r="F76" s="71"/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182"/>
      <c r="AA76" s="43"/>
      <c r="AB76" s="272"/>
      <c r="AC76" s="43"/>
    </row>
    <row r="77" spans="1:29" x14ac:dyDescent="0.2">
      <c r="B77" s="43"/>
      <c r="D77" s="149" t="s">
        <v>30</v>
      </c>
      <c r="E77" s="77" t="s">
        <v>370</v>
      </c>
      <c r="F77" s="71" t="s">
        <v>202</v>
      </c>
      <c r="G77" s="81">
        <v>86231.43</v>
      </c>
      <c r="H77" s="81">
        <v>98080.8</v>
      </c>
      <c r="I77" s="81">
        <v>105989.58</v>
      </c>
      <c r="J77" s="81">
        <v>77229.2</v>
      </c>
      <c r="K77" s="81">
        <v>95002.1</v>
      </c>
      <c r="L77" s="81">
        <v>168128.21</v>
      </c>
      <c r="M77" s="81">
        <v>82198.179999999993</v>
      </c>
      <c r="N77" s="81">
        <v>69610.11</v>
      </c>
      <c r="O77" s="81">
        <v>90424.03</v>
      </c>
      <c r="P77" s="81">
        <v>79276.83</v>
      </c>
      <c r="Q77" s="81">
        <v>105628</v>
      </c>
      <c r="R77" s="81">
        <v>55800.94</v>
      </c>
      <c r="S77" s="182" t="s">
        <v>939</v>
      </c>
      <c r="T77" s="10" t="str">
        <f>VLOOKUP(E77,'TB (H)'!$A$2:$B$279,2,0)</f>
        <v>MAINTENANCE CONSUMABLES PURCHASE COSTS</v>
      </c>
      <c r="AA77" s="43"/>
      <c r="AB77" s="272"/>
      <c r="AC77" s="43"/>
    </row>
    <row r="78" spans="1:29" x14ac:dyDescent="0.2">
      <c r="B78" s="43"/>
      <c r="D78" s="149" t="s">
        <v>30</v>
      </c>
      <c r="E78" s="77" t="s">
        <v>1055</v>
      </c>
      <c r="F78" s="71" t="s">
        <v>1056</v>
      </c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>
        <v>0</v>
      </c>
      <c r="R78" s="81">
        <v>250</v>
      </c>
      <c r="S78" s="182"/>
      <c r="AA78" s="43"/>
      <c r="AB78" s="272"/>
      <c r="AC78" s="43"/>
    </row>
    <row r="79" spans="1:29" x14ac:dyDescent="0.2">
      <c r="B79" s="43"/>
      <c r="D79" s="149" t="s">
        <v>30</v>
      </c>
      <c r="E79" s="77" t="s">
        <v>897</v>
      </c>
      <c r="F79" s="71" t="s">
        <v>899</v>
      </c>
      <c r="G79" s="81">
        <v>76252.210000000006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  <c r="O79" s="81">
        <v>0</v>
      </c>
      <c r="P79" s="81">
        <v>0</v>
      </c>
      <c r="Q79" s="81">
        <v>0</v>
      </c>
      <c r="R79" s="81">
        <v>0</v>
      </c>
      <c r="S79" s="182" t="s">
        <v>939</v>
      </c>
      <c r="T79" s="10" t="str">
        <f>VLOOKUP(E79,'TB (H)'!$A$2:$B$279,2,0)</f>
        <v>OPENING BALANCES CONSUMABLES AND SPARE SPARTS</v>
      </c>
      <c r="AA79" s="43"/>
      <c r="AB79" s="272"/>
      <c r="AC79" s="43"/>
    </row>
    <row r="80" spans="1:29" x14ac:dyDescent="0.2">
      <c r="B80" s="43"/>
      <c r="D80" s="149" t="s">
        <v>30</v>
      </c>
      <c r="E80" s="77" t="s">
        <v>898</v>
      </c>
      <c r="F80" s="71" t="s">
        <v>900</v>
      </c>
      <c r="G80" s="81">
        <v>-98246.3</v>
      </c>
      <c r="H80" s="81">
        <v>840.25</v>
      </c>
      <c r="I80" s="81">
        <v>6352.21</v>
      </c>
      <c r="J80" s="81">
        <v>4986.29</v>
      </c>
      <c r="K80" s="81">
        <v>-7251.93</v>
      </c>
      <c r="L80" s="81">
        <v>-398.45</v>
      </c>
      <c r="M80" s="81">
        <v>17497.34</v>
      </c>
      <c r="N80" s="81">
        <v>3576.98</v>
      </c>
      <c r="O80" s="81">
        <v>-11763.99</v>
      </c>
      <c r="P80" s="81">
        <v>20523.23</v>
      </c>
      <c r="Q80" s="81">
        <v>-50375.19</v>
      </c>
      <c r="R80" s="81">
        <v>-35249.72</v>
      </c>
      <c r="S80" s="182" t="s">
        <v>939</v>
      </c>
      <c r="T80" s="10" t="str">
        <f>VLOOKUP(E80,'TB (H)'!$A$2:$B$279,2,0)</f>
        <v>CLOSING BALANCES CONSUMABLES AND SPARE SPARTS</v>
      </c>
      <c r="AA80" s="43"/>
      <c r="AB80" s="272"/>
      <c r="AC80" s="43"/>
    </row>
    <row r="81" spans="2:29" x14ac:dyDescent="0.2">
      <c r="B81" s="43"/>
      <c r="D81" s="149"/>
      <c r="E81" s="77"/>
      <c r="F81" s="71"/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  <c r="O81" s="81">
        <v>0</v>
      </c>
      <c r="P81" s="81">
        <v>0</v>
      </c>
      <c r="Q81" s="81">
        <v>0</v>
      </c>
      <c r="R81" s="81">
        <v>0</v>
      </c>
      <c r="S81" s="182"/>
      <c r="AA81" s="43"/>
      <c r="AB81" s="272"/>
      <c r="AC81" s="43"/>
    </row>
    <row r="82" spans="2:29" x14ac:dyDescent="0.2">
      <c r="B82" s="43"/>
      <c r="D82" s="149" t="s">
        <v>29</v>
      </c>
      <c r="E82" s="77" t="s">
        <v>404</v>
      </c>
      <c r="F82" s="71" t="s">
        <v>231</v>
      </c>
      <c r="G82" s="81">
        <v>190344.17</v>
      </c>
      <c r="H82" s="81">
        <v>167797.38</v>
      </c>
      <c r="I82" s="81">
        <v>32990.89</v>
      </c>
      <c r="J82" s="81">
        <v>183844.29</v>
      </c>
      <c r="K82" s="81">
        <v>154507.23000000001</v>
      </c>
      <c r="L82" s="81">
        <v>173934.38</v>
      </c>
      <c r="M82" s="81">
        <v>165461.15</v>
      </c>
      <c r="N82" s="81">
        <v>135764.82999999999</v>
      </c>
      <c r="O82" s="81">
        <v>289408.01</v>
      </c>
      <c r="P82" s="81">
        <v>143935.99</v>
      </c>
      <c r="Q82" s="81">
        <v>139552</v>
      </c>
      <c r="R82" s="81">
        <v>129282.22</v>
      </c>
      <c r="S82" s="182" t="s">
        <v>939</v>
      </c>
      <c r="T82" s="10" t="str">
        <f>VLOOKUP(E82,'TB (H)'!$A$2:$B$279,2,0)</f>
        <v>ENERGY</v>
      </c>
      <c r="AA82" s="43"/>
      <c r="AB82" s="272"/>
      <c r="AC82" s="43"/>
    </row>
    <row r="83" spans="2:29" x14ac:dyDescent="0.2">
      <c r="B83" s="43"/>
      <c r="D83" s="149" t="s">
        <v>29</v>
      </c>
      <c r="E83" s="77" t="s">
        <v>405</v>
      </c>
      <c r="F83" s="71" t="s">
        <v>232</v>
      </c>
      <c r="G83" s="81">
        <v>272295.89</v>
      </c>
      <c r="H83" s="81">
        <v>275602.52</v>
      </c>
      <c r="I83" s="81">
        <v>271730.39</v>
      </c>
      <c r="J83" s="81">
        <v>315387.78000000003</v>
      </c>
      <c r="K83" s="81">
        <v>307910.28000000003</v>
      </c>
      <c r="L83" s="81">
        <v>207510.44</v>
      </c>
      <c r="M83" s="81">
        <v>259179.92</v>
      </c>
      <c r="N83" s="81">
        <v>210446.17</v>
      </c>
      <c r="O83" s="81">
        <v>216683.14</v>
      </c>
      <c r="P83" s="81">
        <v>232782.6</v>
      </c>
      <c r="Q83" s="81">
        <v>263987</v>
      </c>
      <c r="R83" s="81">
        <v>234180.76</v>
      </c>
      <c r="S83" s="182" t="s">
        <v>939</v>
      </c>
      <c r="T83" s="10" t="str">
        <f>VLOOKUP(E83,'TB (H)'!$A$2:$B$279,2,0)</f>
        <v>GAS</v>
      </c>
      <c r="AA83" s="43"/>
      <c r="AB83" s="272"/>
      <c r="AC83" s="43"/>
    </row>
    <row r="84" spans="2:29" x14ac:dyDescent="0.2">
      <c r="B84" s="43"/>
      <c r="D84" s="149" t="s">
        <v>29</v>
      </c>
      <c r="E84" s="77" t="s">
        <v>406</v>
      </c>
      <c r="F84" s="71" t="s">
        <v>487</v>
      </c>
      <c r="G84" s="81">
        <v>11073.8</v>
      </c>
      <c r="H84" s="81">
        <v>15249.55</v>
      </c>
      <c r="I84" s="81">
        <v>5760.55</v>
      </c>
      <c r="J84" s="81">
        <v>21293.93</v>
      </c>
      <c r="K84" s="81">
        <v>9631.2800000000007</v>
      </c>
      <c r="L84" s="81">
        <v>15939.15</v>
      </c>
      <c r="M84" s="81">
        <v>2722.04</v>
      </c>
      <c r="N84" s="81">
        <v>7950.97</v>
      </c>
      <c r="O84" s="81">
        <v>13592.72</v>
      </c>
      <c r="P84" s="81">
        <v>8741.7199999999993</v>
      </c>
      <c r="Q84" s="81">
        <v>13227.9</v>
      </c>
      <c r="R84" s="81">
        <v>4926.57</v>
      </c>
      <c r="S84" s="182" t="s">
        <v>939</v>
      </c>
      <c r="T84" s="10" t="str">
        <f>VLOOKUP(E84,'TB (H)'!$A$2:$B$279,2,0)</f>
        <v>OXYGEN</v>
      </c>
      <c r="AA84" s="43"/>
      <c r="AB84" s="272"/>
      <c r="AC84" s="43"/>
    </row>
    <row r="85" spans="2:29" x14ac:dyDescent="0.2">
      <c r="B85" s="43"/>
      <c r="D85" s="149" t="s">
        <v>29</v>
      </c>
      <c r="E85" s="77" t="s">
        <v>488</v>
      </c>
      <c r="F85" s="71" t="s">
        <v>489</v>
      </c>
      <c r="G85" s="81">
        <v>5615.01</v>
      </c>
      <c r="H85" s="81">
        <v>10597.42</v>
      </c>
      <c r="I85" s="81">
        <v>9548.57</v>
      </c>
      <c r="J85" s="81">
        <v>10000</v>
      </c>
      <c r="K85" s="81">
        <v>10032.08</v>
      </c>
      <c r="L85" s="81">
        <v>9000</v>
      </c>
      <c r="M85" s="81">
        <v>13793.21</v>
      </c>
      <c r="N85" s="81">
        <v>10354.530000000001</v>
      </c>
      <c r="O85" s="81">
        <v>6888.51</v>
      </c>
      <c r="P85" s="81">
        <v>7837.54</v>
      </c>
      <c r="Q85" s="81">
        <v>6560.49</v>
      </c>
      <c r="R85" s="81">
        <v>7502.28</v>
      </c>
      <c r="S85" s="182" t="s">
        <v>939</v>
      </c>
      <c r="T85" s="10" t="str">
        <f>VLOOKUP(E85,'TB (H)'!$A$2:$B$279,2,0)</f>
        <v>WATERS</v>
      </c>
      <c r="AA85" s="43"/>
      <c r="AB85" s="272"/>
      <c r="AC85" s="43"/>
    </row>
    <row r="86" spans="2:29" x14ac:dyDescent="0.2">
      <c r="B86" s="43"/>
      <c r="D86" s="149" t="s">
        <v>29</v>
      </c>
      <c r="E86" s="77" t="s">
        <v>490</v>
      </c>
      <c r="F86" s="71" t="s">
        <v>491</v>
      </c>
      <c r="G86" s="81">
        <v>5246.66</v>
      </c>
      <c r="H86" s="81">
        <v>8896.9699999999993</v>
      </c>
      <c r="I86" s="81">
        <v>7414.13</v>
      </c>
      <c r="J86" s="81">
        <v>4649.3599999999997</v>
      </c>
      <c r="K86" s="81">
        <v>11966.51</v>
      </c>
      <c r="L86" s="81">
        <v>10678.55</v>
      </c>
      <c r="M86" s="81">
        <v>6318.38</v>
      </c>
      <c r="N86" s="81">
        <v>14097.22</v>
      </c>
      <c r="O86" s="81">
        <v>6422.15</v>
      </c>
      <c r="P86" s="81">
        <v>3598.83</v>
      </c>
      <c r="Q86" s="81">
        <v>5825.63</v>
      </c>
      <c r="R86" s="81">
        <v>4712.7700000000004</v>
      </c>
      <c r="S86" s="182" t="s">
        <v>939</v>
      </c>
      <c r="T86" s="10" t="str">
        <f>VLOOKUP(E86,'TB (H)'!$A$2:$B$279,2,0)</f>
        <v>OTHER ENERGIES</v>
      </c>
      <c r="AA86" s="43"/>
      <c r="AB86" s="272"/>
      <c r="AC86" s="43"/>
    </row>
    <row r="87" spans="2:29" x14ac:dyDescent="0.2">
      <c r="B87" s="43"/>
      <c r="D87" s="149"/>
      <c r="E87" s="77"/>
      <c r="F87" s="71"/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  <c r="O87" s="81">
        <v>0</v>
      </c>
      <c r="P87" s="81">
        <v>0</v>
      </c>
      <c r="Q87" s="81">
        <v>0</v>
      </c>
      <c r="R87" s="81">
        <v>0</v>
      </c>
      <c r="S87" s="182"/>
      <c r="AA87" s="43"/>
      <c r="AB87" s="272"/>
      <c r="AC87" s="43"/>
    </row>
    <row r="88" spans="2:29" x14ac:dyDescent="0.2">
      <c r="B88" s="43"/>
      <c r="D88" s="149"/>
      <c r="E88" s="77"/>
      <c r="F88" s="71"/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  <c r="O88" s="81">
        <v>0</v>
      </c>
      <c r="P88" s="81">
        <v>0</v>
      </c>
      <c r="Q88" s="81">
        <v>0</v>
      </c>
      <c r="R88" s="81">
        <v>0</v>
      </c>
      <c r="S88" s="182"/>
      <c r="AA88" s="43"/>
      <c r="AB88" s="272"/>
      <c r="AC88" s="43"/>
    </row>
    <row r="89" spans="2:29" x14ac:dyDescent="0.2">
      <c r="B89" s="43"/>
      <c r="D89" s="149" t="s">
        <v>951</v>
      </c>
      <c r="E89" s="77" t="s">
        <v>438</v>
      </c>
      <c r="F89" s="71" t="s">
        <v>264</v>
      </c>
      <c r="G89" s="81">
        <v>433433.29</v>
      </c>
      <c r="H89" s="81">
        <v>466793.75</v>
      </c>
      <c r="I89" s="81">
        <v>512767.81</v>
      </c>
      <c r="J89" s="81">
        <v>449075.35</v>
      </c>
      <c r="K89" s="81">
        <v>473692.85</v>
      </c>
      <c r="L89" s="81">
        <v>455794.8</v>
      </c>
      <c r="M89" s="81">
        <v>426998.79</v>
      </c>
      <c r="N89" s="81">
        <v>437040.56</v>
      </c>
      <c r="O89" s="81">
        <v>417649.52</v>
      </c>
      <c r="P89" s="81">
        <v>390676.8</v>
      </c>
      <c r="Q89" s="81">
        <v>448715</v>
      </c>
      <c r="R89" s="81">
        <v>416809.16</v>
      </c>
      <c r="S89" s="182" t="s">
        <v>951</v>
      </c>
      <c r="T89" s="10" t="str">
        <f>VLOOKUP(E89,'TB (H)'!$A$2:$B$279,2,0)</f>
        <v>WAGES AND SALARY</v>
      </c>
      <c r="AA89" s="43"/>
      <c r="AB89" s="272"/>
      <c r="AC89" s="43"/>
    </row>
    <row r="90" spans="2:29" x14ac:dyDescent="0.2">
      <c r="B90" s="43"/>
      <c r="D90" s="149" t="s">
        <v>951</v>
      </c>
      <c r="E90" s="77" t="s">
        <v>1035</v>
      </c>
      <c r="F90" s="71" t="s">
        <v>1036</v>
      </c>
      <c r="G90" s="81">
        <v>0</v>
      </c>
      <c r="H90" s="81">
        <v>0</v>
      </c>
      <c r="I90" s="81">
        <v>0</v>
      </c>
      <c r="J90" s="81">
        <v>0</v>
      </c>
      <c r="K90" s="81">
        <v>0</v>
      </c>
      <c r="L90" s="81">
        <v>0</v>
      </c>
      <c r="M90" s="81">
        <v>22843.61</v>
      </c>
      <c r="N90" s="81">
        <v>42537.02</v>
      </c>
      <c r="O90" s="81">
        <v>15827.87</v>
      </c>
      <c r="P90" s="81">
        <v>9617.5300000000007</v>
      </c>
      <c r="Q90" s="81">
        <v>14050.6</v>
      </c>
      <c r="R90" s="81">
        <v>11217.78</v>
      </c>
      <c r="S90" s="182" t="s">
        <v>951</v>
      </c>
      <c r="T90" s="10" t="str">
        <f>VLOOKUP(E90,'TB (H)'!$A$2:$B$279,2,0)</f>
        <v>UTILIZATION OVERTIME</v>
      </c>
      <c r="AA90" s="43"/>
      <c r="AB90" s="272"/>
      <c r="AC90" s="43"/>
    </row>
    <row r="91" spans="2:29" x14ac:dyDescent="0.2">
      <c r="B91" s="43"/>
      <c r="D91" s="149" t="s">
        <v>951</v>
      </c>
      <c r="E91" s="77" t="s">
        <v>498</v>
      </c>
      <c r="F91" s="71" t="s">
        <v>499</v>
      </c>
      <c r="G91" s="81">
        <v>59217.19</v>
      </c>
      <c r="H91" s="81">
        <v>59217.19</v>
      </c>
      <c r="I91" s="81">
        <v>59217.19</v>
      </c>
      <c r="J91" s="81">
        <v>-265687.81</v>
      </c>
      <c r="K91" s="81">
        <v>59379.839999999997</v>
      </c>
      <c r="L91" s="81">
        <v>59379.839999999997</v>
      </c>
      <c r="M91" s="81">
        <v>62072.04</v>
      </c>
      <c r="N91" s="81">
        <v>62072.04</v>
      </c>
      <c r="O91" s="81">
        <v>62672.35</v>
      </c>
      <c r="P91" s="81">
        <v>-255051.65</v>
      </c>
      <c r="Q91" s="81">
        <v>62672.4</v>
      </c>
      <c r="R91" s="81">
        <v>-104896.15</v>
      </c>
      <c r="S91" s="182" t="s">
        <v>951</v>
      </c>
      <c r="T91" s="10" t="str">
        <f>VLOOKUP(E91,'TB (H)'!$A$2:$B$279,2,0)</f>
        <v>MBO - ACCRUALS</v>
      </c>
      <c r="AA91" s="43"/>
      <c r="AB91" s="272"/>
      <c r="AC91" s="43"/>
    </row>
    <row r="92" spans="2:29" x14ac:dyDescent="0.2">
      <c r="B92" s="43"/>
      <c r="D92" s="149" t="s">
        <v>951</v>
      </c>
      <c r="E92" s="77" t="s">
        <v>1037</v>
      </c>
      <c r="F92" s="71" t="s">
        <v>1038</v>
      </c>
      <c r="G92" s="81">
        <v>0</v>
      </c>
      <c r="H92" s="81">
        <v>0</v>
      </c>
      <c r="I92" s="81">
        <v>0</v>
      </c>
      <c r="J92" s="81">
        <v>186862</v>
      </c>
      <c r="K92" s="81">
        <v>0</v>
      </c>
      <c r="L92" s="81">
        <v>0</v>
      </c>
      <c r="M92" s="81">
        <v>0</v>
      </c>
      <c r="N92" s="81">
        <v>0</v>
      </c>
      <c r="O92" s="81">
        <v>0</v>
      </c>
      <c r="P92" s="81">
        <v>165784.32000000001</v>
      </c>
      <c r="Q92" s="81">
        <v>0</v>
      </c>
      <c r="R92" s="81">
        <v>147584.78</v>
      </c>
      <c r="S92" s="182" t="s">
        <v>951</v>
      </c>
      <c r="T92" s="10" t="str">
        <f>VLOOKUP(E92,'TB (H)'!$A$2:$B$279,2,0)</f>
        <v>MBO - CONSUMPTION</v>
      </c>
      <c r="AA92" s="43"/>
      <c r="AB92" s="272"/>
      <c r="AC92" s="43"/>
    </row>
    <row r="93" spans="2:29" x14ac:dyDescent="0.2">
      <c r="B93" s="43"/>
      <c r="D93" s="149" t="s">
        <v>951</v>
      </c>
      <c r="E93" s="77" t="s">
        <v>439</v>
      </c>
      <c r="F93" s="71" t="s">
        <v>265</v>
      </c>
      <c r="G93" s="81">
        <v>45846.77</v>
      </c>
      <c r="H93" s="81">
        <v>49131.58</v>
      </c>
      <c r="I93" s="81">
        <v>54967.23</v>
      </c>
      <c r="J93" s="81">
        <v>50376.89</v>
      </c>
      <c r="K93" s="81">
        <v>52558.59</v>
      </c>
      <c r="L93" s="81">
        <v>49218.11</v>
      </c>
      <c r="M93" s="81">
        <v>53773.279999999999</v>
      </c>
      <c r="N93" s="81">
        <v>53041.9</v>
      </c>
      <c r="O93" s="81">
        <v>45655.519999999997</v>
      </c>
      <c r="P93" s="81">
        <v>44492.01</v>
      </c>
      <c r="Q93" s="81">
        <v>47814.5</v>
      </c>
      <c r="R93" s="81">
        <v>44508.79</v>
      </c>
      <c r="S93" s="182" t="s">
        <v>951</v>
      </c>
      <c r="T93" s="10" t="str">
        <f>VLOOKUP(E93,'TB (H)'!$A$2:$B$279,2,0)</f>
        <v>SOCIAL CHARGES WAGES AND SALARY</v>
      </c>
      <c r="AA93" s="43"/>
      <c r="AB93" s="272"/>
      <c r="AC93" s="43"/>
    </row>
    <row r="94" spans="2:29" x14ac:dyDescent="0.2">
      <c r="B94" s="43"/>
      <c r="D94" s="149" t="s">
        <v>951</v>
      </c>
      <c r="E94" s="77" t="s">
        <v>500</v>
      </c>
      <c r="F94" s="71" t="s">
        <v>501</v>
      </c>
      <c r="G94" s="81">
        <v>15513.41</v>
      </c>
      <c r="H94" s="81">
        <v>15976.74</v>
      </c>
      <c r="I94" s="81">
        <v>17647.509999999998</v>
      </c>
      <c r="J94" s="81">
        <v>25088.98</v>
      </c>
      <c r="K94" s="81">
        <v>17005.509999999998</v>
      </c>
      <c r="L94" s="81">
        <v>16235.16</v>
      </c>
      <c r="M94" s="81">
        <v>15444.87</v>
      </c>
      <c r="N94" s="81">
        <v>16745.599999999999</v>
      </c>
      <c r="O94" s="81">
        <v>15242.07</v>
      </c>
      <c r="P94" s="81">
        <v>22938.23</v>
      </c>
      <c r="Q94" s="81">
        <v>16670.599999999999</v>
      </c>
      <c r="R94" s="81">
        <v>20453.78</v>
      </c>
      <c r="S94" s="182" t="s">
        <v>951</v>
      </c>
      <c r="T94" s="10" t="str">
        <f>VLOOKUP(E94,'TB (H)'!$A$2:$B$279,2,0)</f>
        <v>CURRENT RETIREMENT ALLOWANCE</v>
      </c>
      <c r="AA94" s="43"/>
      <c r="AB94" s="272"/>
      <c r="AC94" s="43"/>
    </row>
    <row r="95" spans="2:29" x14ac:dyDescent="0.2">
      <c r="B95" s="43"/>
      <c r="D95" s="149" t="s">
        <v>951</v>
      </c>
      <c r="E95" s="77"/>
      <c r="F95" s="71"/>
      <c r="G95" s="81">
        <v>0</v>
      </c>
      <c r="H95" s="81">
        <v>0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  <c r="O95" s="81">
        <v>0</v>
      </c>
      <c r="P95" s="81">
        <v>0</v>
      </c>
      <c r="Q95" s="81">
        <v>0</v>
      </c>
      <c r="R95" s="81">
        <v>0</v>
      </c>
      <c r="S95" s="182"/>
      <c r="AA95" s="43"/>
      <c r="AB95" s="272"/>
      <c r="AC95" s="43"/>
    </row>
    <row r="96" spans="2:29" x14ac:dyDescent="0.2">
      <c r="B96" s="43"/>
      <c r="D96" s="149" t="s">
        <v>281</v>
      </c>
      <c r="E96" s="77" t="s">
        <v>374</v>
      </c>
      <c r="F96" s="71" t="s">
        <v>206</v>
      </c>
      <c r="G96" s="81">
        <v>2375.1799999999998</v>
      </c>
      <c r="H96" s="81">
        <v>5616.09</v>
      </c>
      <c r="I96" s="81">
        <v>3697.32</v>
      </c>
      <c r="J96" s="81">
        <v>2123.42</v>
      </c>
      <c r="K96" s="81">
        <v>746.1</v>
      </c>
      <c r="L96" s="81">
        <v>2567.21</v>
      </c>
      <c r="M96" s="81">
        <v>1770.32</v>
      </c>
      <c r="N96" s="81">
        <v>2319.9</v>
      </c>
      <c r="O96" s="81">
        <v>1474.3</v>
      </c>
      <c r="P96" s="81">
        <v>4065.2</v>
      </c>
      <c r="Q96" s="81">
        <v>1350.72</v>
      </c>
      <c r="R96" s="81">
        <v>1385.51</v>
      </c>
      <c r="S96" s="182" t="s">
        <v>939</v>
      </c>
      <c r="T96" s="10" t="str">
        <f>VLOOKUP(E96,'TB (H)'!$A$2:$B$279,2,0)</f>
        <v>SAFETY EQUIPMENT</v>
      </c>
      <c r="AA96" s="43"/>
      <c r="AB96" s="272"/>
      <c r="AC96" s="43"/>
    </row>
    <row r="97" spans="2:29" x14ac:dyDescent="0.2">
      <c r="B97" s="43"/>
      <c r="D97" s="149" t="s">
        <v>281</v>
      </c>
      <c r="E97" s="77" t="s">
        <v>401</v>
      </c>
      <c r="F97" s="71" t="s">
        <v>283</v>
      </c>
      <c r="G97" s="81">
        <v>0</v>
      </c>
      <c r="H97" s="81">
        <v>0</v>
      </c>
      <c r="I97" s="81">
        <v>0</v>
      </c>
      <c r="J97" s="81">
        <v>0</v>
      </c>
      <c r="K97" s="81">
        <v>0</v>
      </c>
      <c r="L97" s="81">
        <v>0</v>
      </c>
      <c r="M97" s="81">
        <v>0</v>
      </c>
      <c r="N97" s="81">
        <v>0</v>
      </c>
      <c r="O97" s="81">
        <v>0</v>
      </c>
      <c r="P97" s="81">
        <v>0</v>
      </c>
      <c r="Q97" s="81">
        <v>12441.5</v>
      </c>
      <c r="R97" s="81">
        <v>4433</v>
      </c>
      <c r="S97" s="182" t="s">
        <v>939</v>
      </c>
      <c r="T97" s="10" t="str">
        <f>VLOOKUP(E97,'TB (H)'!$A$2:$B$279,2,0)</f>
        <v>CONSULTANCY ON COMPANY SAFETY</v>
      </c>
      <c r="AA97" s="43"/>
      <c r="AB97" s="272"/>
      <c r="AC97" s="43"/>
    </row>
    <row r="98" spans="2:29" x14ac:dyDescent="0.2">
      <c r="B98" s="43"/>
      <c r="D98" s="149" t="s">
        <v>281</v>
      </c>
      <c r="E98" s="77" t="s">
        <v>400</v>
      </c>
      <c r="F98" s="71" t="s">
        <v>228</v>
      </c>
      <c r="G98" s="81">
        <v>27392.12</v>
      </c>
      <c r="H98" s="81">
        <v>27229.79</v>
      </c>
      <c r="I98" s="81">
        <v>38148.959999999999</v>
      </c>
      <c r="J98" s="81">
        <v>17866.86</v>
      </c>
      <c r="K98" s="81">
        <v>22192.880000000001</v>
      </c>
      <c r="L98" s="81">
        <v>9340.0300000000007</v>
      </c>
      <c r="M98" s="81">
        <v>25411.78</v>
      </c>
      <c r="N98" s="81">
        <v>8848.4599999999991</v>
      </c>
      <c r="O98" s="81">
        <v>15717.48</v>
      </c>
      <c r="P98" s="81">
        <v>22781.64</v>
      </c>
      <c r="Q98" s="81">
        <v>11161.6</v>
      </c>
      <c r="R98" s="81">
        <v>9413.77</v>
      </c>
      <c r="S98" s="182" t="s">
        <v>939</v>
      </c>
      <c r="T98" s="10" t="str">
        <f>VLOOKUP(E98,'TB (H)'!$A$2:$B$279,2,0)</f>
        <v>ENVIRONMENTAL SERVICES</v>
      </c>
      <c r="AA98" s="43"/>
      <c r="AB98" s="272"/>
      <c r="AC98" s="43"/>
    </row>
    <row r="99" spans="2:29" x14ac:dyDescent="0.2">
      <c r="B99" s="43"/>
      <c r="D99" s="149" t="s">
        <v>754</v>
      </c>
      <c r="E99" s="77" t="s">
        <v>751</v>
      </c>
      <c r="F99" s="71" t="s">
        <v>752</v>
      </c>
      <c r="G99" s="81">
        <v>12879.86</v>
      </c>
      <c r="H99" s="81">
        <v>16622.080000000002</v>
      </c>
      <c r="I99" s="81">
        <v>15141.96</v>
      </c>
      <c r="J99" s="81">
        <v>22007.45</v>
      </c>
      <c r="K99" s="81">
        <v>7402.75</v>
      </c>
      <c r="L99" s="81">
        <v>10335.92</v>
      </c>
      <c r="M99" s="81">
        <v>-2305.56</v>
      </c>
      <c r="N99" s="81">
        <v>-11338.36</v>
      </c>
      <c r="O99" s="81">
        <v>12971.04</v>
      </c>
      <c r="P99" s="81">
        <v>-12791.29</v>
      </c>
      <c r="Q99" s="81">
        <v>-18462.63</v>
      </c>
      <c r="R99" s="81">
        <v>-14197.67</v>
      </c>
      <c r="S99" s="182" t="s">
        <v>939</v>
      </c>
      <c r="T99" s="10" t="str">
        <f>VLOOKUP(E99,'TB (H)'!$A$2:$B$279,2,0)</f>
        <v>EMISSION TRADING COSTS</v>
      </c>
      <c r="AA99" s="43"/>
      <c r="AB99" s="272"/>
      <c r="AC99" s="43"/>
    </row>
    <row r="100" spans="2:29" x14ac:dyDescent="0.2">
      <c r="B100" s="43"/>
      <c r="D100" s="149"/>
      <c r="E100" s="77"/>
      <c r="F100" s="71"/>
      <c r="G100" s="81">
        <v>0</v>
      </c>
      <c r="H100" s="81">
        <v>0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O100" s="81">
        <v>0</v>
      </c>
      <c r="P100" s="81">
        <v>0</v>
      </c>
      <c r="Q100" s="81">
        <v>0</v>
      </c>
      <c r="R100" s="81">
        <v>0</v>
      </c>
      <c r="S100" s="182"/>
      <c r="AA100" s="43"/>
      <c r="AB100" s="272"/>
      <c r="AC100" s="43"/>
    </row>
    <row r="101" spans="2:29" x14ac:dyDescent="0.2">
      <c r="B101" s="43"/>
      <c r="D101" s="149"/>
      <c r="E101" s="77"/>
      <c r="F101" s="71"/>
      <c r="G101" s="81">
        <v>0</v>
      </c>
      <c r="H101" s="81">
        <v>0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  <c r="O101" s="81">
        <v>0</v>
      </c>
      <c r="P101" s="81">
        <v>0</v>
      </c>
      <c r="Q101" s="81">
        <v>0</v>
      </c>
      <c r="R101" s="81">
        <v>0</v>
      </c>
      <c r="S101" s="182"/>
      <c r="AA101" s="43"/>
      <c r="AB101" s="272"/>
      <c r="AC101" s="43"/>
    </row>
    <row r="102" spans="2:29" x14ac:dyDescent="0.2">
      <c r="B102" s="43"/>
      <c r="D102" s="149"/>
      <c r="E102" s="77"/>
      <c r="F102" s="71"/>
      <c r="G102" s="81">
        <v>0</v>
      </c>
      <c r="H102" s="81">
        <v>0</v>
      </c>
      <c r="I102" s="81">
        <v>0</v>
      </c>
      <c r="J102" s="81">
        <v>0</v>
      </c>
      <c r="K102" s="81">
        <v>0</v>
      </c>
      <c r="L102" s="81">
        <v>0</v>
      </c>
      <c r="M102" s="81">
        <v>0</v>
      </c>
      <c r="N102" s="81">
        <v>0</v>
      </c>
      <c r="O102" s="81">
        <v>0</v>
      </c>
      <c r="P102" s="81">
        <v>0</v>
      </c>
      <c r="Q102" s="81">
        <v>0</v>
      </c>
      <c r="R102" s="81">
        <v>0</v>
      </c>
      <c r="S102" s="182"/>
      <c r="AA102" s="43"/>
      <c r="AB102" s="272"/>
      <c r="AC102" s="43"/>
    </row>
    <row r="103" spans="2:29" x14ac:dyDescent="0.2">
      <c r="B103" s="43"/>
      <c r="D103" s="149" t="s">
        <v>31</v>
      </c>
      <c r="E103" s="77" t="s">
        <v>481</v>
      </c>
      <c r="F103" s="71" t="s">
        <v>482</v>
      </c>
      <c r="G103" s="81">
        <v>0</v>
      </c>
      <c r="H103" s="81">
        <v>3145</v>
      </c>
      <c r="I103" s="81">
        <v>441.56</v>
      </c>
      <c r="J103" s="81">
        <v>0</v>
      </c>
      <c r="K103" s="81">
        <v>3150</v>
      </c>
      <c r="L103" s="81">
        <v>599.98</v>
      </c>
      <c r="M103" s="81">
        <v>0</v>
      </c>
      <c r="N103" s="81">
        <v>0</v>
      </c>
      <c r="O103" s="81">
        <v>1410</v>
      </c>
      <c r="P103" s="81">
        <v>0</v>
      </c>
      <c r="Q103" s="81">
        <v>4377.58</v>
      </c>
      <c r="R103" s="81">
        <v>0</v>
      </c>
      <c r="S103" s="182" t="s">
        <v>939</v>
      </c>
      <c r="T103" s="10" t="str">
        <f>VLOOKUP(E103,'TB (H)'!$A$2:$B$279,2,0)</f>
        <v>EXTERNAL MANUFACTURED WORK</v>
      </c>
      <c r="AA103" s="43"/>
      <c r="AB103" s="272"/>
      <c r="AC103" s="43"/>
    </row>
    <row r="104" spans="2:29" x14ac:dyDescent="0.2">
      <c r="B104" s="43"/>
      <c r="D104" s="149" t="s">
        <v>31</v>
      </c>
      <c r="E104" s="77" t="s">
        <v>391</v>
      </c>
      <c r="F104" s="71" t="s">
        <v>219</v>
      </c>
      <c r="G104" s="81">
        <v>4351.29</v>
      </c>
      <c r="H104" s="81">
        <v>3625.71</v>
      </c>
      <c r="I104" s="81">
        <v>3550.71</v>
      </c>
      <c r="J104" s="81">
        <v>542.14</v>
      </c>
      <c r="K104" s="81">
        <v>3842.76</v>
      </c>
      <c r="L104" s="81">
        <v>3219.58</v>
      </c>
      <c r="M104" s="81">
        <v>4950.84</v>
      </c>
      <c r="N104" s="81">
        <v>3266.59</v>
      </c>
      <c r="O104" s="81">
        <v>3713.67</v>
      </c>
      <c r="P104" s="81">
        <v>5834.52</v>
      </c>
      <c r="Q104" s="81">
        <v>5327.48</v>
      </c>
      <c r="R104" s="81">
        <v>2309.2800000000002</v>
      </c>
      <c r="S104" s="182" t="s">
        <v>939</v>
      </c>
      <c r="T104" s="10" t="str">
        <f>VLOOKUP(E104,'TB (H)'!$A$2:$B$279,2,0)</f>
        <v>WASTE DISPOSAL SERVICES</v>
      </c>
      <c r="AA104" s="43"/>
      <c r="AB104" s="272"/>
      <c r="AC104" s="43"/>
    </row>
    <row r="105" spans="2:29" x14ac:dyDescent="0.2">
      <c r="B105" s="43"/>
      <c r="D105" s="149" t="s">
        <v>31</v>
      </c>
      <c r="E105" s="77" t="s">
        <v>485</v>
      </c>
      <c r="F105" s="71" t="s">
        <v>486</v>
      </c>
      <c r="G105" s="81">
        <v>0</v>
      </c>
      <c r="H105" s="81">
        <v>0</v>
      </c>
      <c r="I105" s="81">
        <v>0</v>
      </c>
      <c r="J105" s="81">
        <v>0</v>
      </c>
      <c r="K105" s="81">
        <v>0</v>
      </c>
      <c r="L105" s="81">
        <v>0</v>
      </c>
      <c r="M105" s="81">
        <v>0</v>
      </c>
      <c r="N105" s="81">
        <v>0</v>
      </c>
      <c r="O105" s="81">
        <v>0</v>
      </c>
      <c r="P105" s="81">
        <v>0</v>
      </c>
      <c r="Q105" s="81">
        <v>0</v>
      </c>
      <c r="R105" s="81">
        <v>0</v>
      </c>
      <c r="S105" s="182" t="s">
        <v>939</v>
      </c>
      <c r="T105" s="10" t="str">
        <f>VLOOKUP(E105,'TB (H)'!$A$2:$B$279,2,0)</f>
        <v>MAINTENANCE SERVICES FOR GARDEN</v>
      </c>
      <c r="AA105" s="43"/>
      <c r="AB105" s="272"/>
      <c r="AC105" s="43"/>
    </row>
    <row r="106" spans="2:29" x14ac:dyDescent="0.2">
      <c r="B106" s="43"/>
      <c r="D106" s="149" t="s">
        <v>31</v>
      </c>
      <c r="E106" s="77" t="s">
        <v>392</v>
      </c>
      <c r="F106" s="71" t="s">
        <v>220</v>
      </c>
      <c r="G106" s="81">
        <v>0</v>
      </c>
      <c r="H106" s="81">
        <v>0</v>
      </c>
      <c r="I106" s="81">
        <v>0</v>
      </c>
      <c r="J106" s="81">
        <v>0</v>
      </c>
      <c r="K106" s="81">
        <v>0</v>
      </c>
      <c r="L106" s="81">
        <v>20804.099999999999</v>
      </c>
      <c r="M106" s="81">
        <v>0</v>
      </c>
      <c r="N106" s="81">
        <v>0</v>
      </c>
      <c r="O106" s="81">
        <v>0</v>
      </c>
      <c r="P106" s="81">
        <v>0</v>
      </c>
      <c r="Q106" s="81">
        <v>0</v>
      </c>
      <c r="R106" s="81">
        <v>0</v>
      </c>
      <c r="S106" s="182" t="s">
        <v>939</v>
      </c>
      <c r="T106" s="10" t="str">
        <f>VLOOKUP(E106,'TB (H)'!$A$2:$B$279,2,0)</f>
        <v>REPAIRS ON STEEL SHEETS</v>
      </c>
      <c r="AA106" s="43"/>
      <c r="AB106" s="272"/>
      <c r="AC106" s="43"/>
    </row>
    <row r="107" spans="2:29" x14ac:dyDescent="0.2">
      <c r="B107" s="43"/>
      <c r="D107" s="149" t="s">
        <v>31</v>
      </c>
      <c r="E107" s="77" t="s">
        <v>393</v>
      </c>
      <c r="F107" s="71" t="s">
        <v>221</v>
      </c>
      <c r="G107" s="81">
        <v>2294.9499999999998</v>
      </c>
      <c r="H107" s="81">
        <v>0</v>
      </c>
      <c r="I107" s="81">
        <v>0</v>
      </c>
      <c r="J107" s="81">
        <v>-200.2</v>
      </c>
      <c r="K107" s="81">
        <v>5040</v>
      </c>
      <c r="L107" s="81">
        <v>9240</v>
      </c>
      <c r="M107" s="81">
        <v>0</v>
      </c>
      <c r="N107" s="81">
        <v>0</v>
      </c>
      <c r="O107" s="81">
        <v>1680</v>
      </c>
      <c r="P107" s="81">
        <v>6910.12</v>
      </c>
      <c r="Q107" s="81">
        <v>0</v>
      </c>
      <c r="R107" s="81">
        <v>336</v>
      </c>
      <c r="S107" s="182" t="s">
        <v>939</v>
      </c>
      <c r="T107" s="10" t="str">
        <f>VLOOKUP(E107,'TB (H)'!$A$2:$B$279,2,0)</f>
        <v>STEEL SHEETS SANDBLASTING</v>
      </c>
      <c r="AA107" s="43"/>
      <c r="AB107" s="272"/>
      <c r="AC107" s="43"/>
    </row>
    <row r="108" spans="2:29" x14ac:dyDescent="0.2">
      <c r="B108" s="43"/>
      <c r="D108" s="149" t="s">
        <v>31</v>
      </c>
      <c r="E108" s="77" t="s">
        <v>394</v>
      </c>
      <c r="F108" s="71" t="s">
        <v>222</v>
      </c>
      <c r="G108" s="81">
        <v>0</v>
      </c>
      <c r="H108" s="81">
        <v>0</v>
      </c>
      <c r="I108" s="81">
        <v>0</v>
      </c>
      <c r="J108" s="81">
        <v>0</v>
      </c>
      <c r="K108" s="81">
        <v>0</v>
      </c>
      <c r="L108" s="81">
        <v>0</v>
      </c>
      <c r="M108" s="81">
        <v>0</v>
      </c>
      <c r="N108" s="81">
        <v>0</v>
      </c>
      <c r="O108" s="81">
        <v>0</v>
      </c>
      <c r="P108" s="81">
        <v>0</v>
      </c>
      <c r="Q108" s="81">
        <v>0</v>
      </c>
      <c r="R108" s="81">
        <v>0</v>
      </c>
      <c r="S108" s="182" t="s">
        <v>939</v>
      </c>
      <c r="AA108" s="43"/>
      <c r="AB108" s="272"/>
      <c r="AC108" s="43"/>
    </row>
    <row r="109" spans="2:29" x14ac:dyDescent="0.2">
      <c r="B109" s="43"/>
      <c r="D109" s="149" t="s">
        <v>31</v>
      </c>
      <c r="E109" s="77" t="s">
        <v>395</v>
      </c>
      <c r="F109" s="71" t="s">
        <v>223</v>
      </c>
      <c r="G109" s="81">
        <v>0</v>
      </c>
      <c r="H109" s="81">
        <v>0</v>
      </c>
      <c r="I109" s="81">
        <v>0</v>
      </c>
      <c r="J109" s="81">
        <v>0</v>
      </c>
      <c r="K109" s="81">
        <v>0</v>
      </c>
      <c r="L109" s="81">
        <v>0</v>
      </c>
      <c r="M109" s="81">
        <v>0</v>
      </c>
      <c r="N109" s="81">
        <v>0</v>
      </c>
      <c r="O109" s="81">
        <v>0</v>
      </c>
      <c r="P109" s="81">
        <v>0</v>
      </c>
      <c r="Q109" s="81">
        <v>0</v>
      </c>
      <c r="R109" s="81">
        <v>0</v>
      </c>
      <c r="S109" s="182" t="s">
        <v>939</v>
      </c>
      <c r="T109" s="10" t="str">
        <f>VLOOKUP(E109,'TB (H)'!$A$2:$B$279,2,0)</f>
        <v>OTHER PROCESSING-RELATED OPER.IONS</v>
      </c>
      <c r="AA109" s="43"/>
      <c r="AB109" s="272"/>
      <c r="AC109" s="43"/>
    </row>
    <row r="110" spans="2:29" x14ac:dyDescent="0.2">
      <c r="B110" s="43"/>
      <c r="D110" s="149" t="s">
        <v>31</v>
      </c>
      <c r="E110" s="77" t="s">
        <v>396</v>
      </c>
      <c r="F110" s="71" t="s">
        <v>224</v>
      </c>
      <c r="G110" s="81">
        <v>0</v>
      </c>
      <c r="H110" s="81">
        <v>0</v>
      </c>
      <c r="I110" s="81">
        <v>0</v>
      </c>
      <c r="J110" s="81">
        <v>0</v>
      </c>
      <c r="K110" s="81">
        <v>0</v>
      </c>
      <c r="L110" s="81">
        <v>0</v>
      </c>
      <c r="M110" s="81">
        <v>0</v>
      </c>
      <c r="N110" s="81">
        <v>0</v>
      </c>
      <c r="O110" s="81">
        <v>0</v>
      </c>
      <c r="P110" s="81">
        <v>0</v>
      </c>
      <c r="Q110" s="81">
        <v>0</v>
      </c>
      <c r="R110" s="81">
        <v>0</v>
      </c>
      <c r="S110" s="182" t="s">
        <v>939</v>
      </c>
      <c r="T110" s="10" t="str">
        <f>VLOOKUP(E110,'TB (H)'!$A$2:$B$279,2,0)</f>
        <v>STEEL SHEETS TRIMMING</v>
      </c>
      <c r="AA110" s="43"/>
      <c r="AB110" s="272"/>
      <c r="AC110" s="43"/>
    </row>
    <row r="111" spans="2:29" x14ac:dyDescent="0.2">
      <c r="B111" s="43"/>
      <c r="D111" s="149" t="s">
        <v>31</v>
      </c>
      <c r="E111" s="77" t="s">
        <v>397</v>
      </c>
      <c r="F111" s="71" t="s">
        <v>225</v>
      </c>
      <c r="G111" s="81">
        <v>0</v>
      </c>
      <c r="H111" s="81">
        <v>0</v>
      </c>
      <c r="I111" s="81">
        <v>0</v>
      </c>
      <c r="J111" s="81">
        <v>0</v>
      </c>
      <c r="K111" s="81">
        <v>0</v>
      </c>
      <c r="L111" s="81">
        <v>0</v>
      </c>
      <c r="M111" s="81">
        <v>0</v>
      </c>
      <c r="N111" s="81">
        <v>0</v>
      </c>
      <c r="O111" s="81">
        <v>0</v>
      </c>
      <c r="P111" s="81">
        <v>0</v>
      </c>
      <c r="Q111" s="81">
        <v>0</v>
      </c>
      <c r="R111" s="81">
        <v>0</v>
      </c>
      <c r="S111" s="182" t="s">
        <v>939</v>
      </c>
      <c r="T111" s="10" t="str">
        <f>VLOOKUP(E111,'TB (H)'!$A$2:$B$279,2,0)</f>
        <v>SPECIMEN/SAMPLES PREPARATION</v>
      </c>
      <c r="AA111" s="43"/>
      <c r="AB111" s="272"/>
      <c r="AC111" s="43"/>
    </row>
    <row r="112" spans="2:29" x14ac:dyDescent="0.2">
      <c r="B112" s="43"/>
      <c r="D112" s="149" t="s">
        <v>31</v>
      </c>
      <c r="E112" s="77" t="s">
        <v>398</v>
      </c>
      <c r="F112" s="71" t="s">
        <v>226</v>
      </c>
      <c r="G112" s="81">
        <v>0</v>
      </c>
      <c r="H112" s="81">
        <v>0</v>
      </c>
      <c r="I112" s="81">
        <v>0</v>
      </c>
      <c r="J112" s="81">
        <v>0</v>
      </c>
      <c r="K112" s="81">
        <v>0</v>
      </c>
      <c r="L112" s="81">
        <v>0</v>
      </c>
      <c r="M112" s="81">
        <v>0</v>
      </c>
      <c r="N112" s="81">
        <v>0</v>
      </c>
      <c r="O112" s="81">
        <v>0</v>
      </c>
      <c r="P112" s="81">
        <v>0</v>
      </c>
      <c r="Q112" s="81">
        <v>0</v>
      </c>
      <c r="R112" s="81">
        <v>0</v>
      </c>
      <c r="S112" s="182" t="s">
        <v>939</v>
      </c>
      <c r="T112" s="10" t="str">
        <f>VLOOKUP(E112,'TB (H)'!$A$2:$B$279,2,0)</f>
        <v>U.S. TESTING</v>
      </c>
      <c r="AA112" s="43"/>
      <c r="AB112" s="272"/>
      <c r="AC112" s="43"/>
    </row>
    <row r="113" spans="2:29" x14ac:dyDescent="0.2">
      <c r="B113" s="43"/>
      <c r="D113" s="149" t="s">
        <v>31</v>
      </c>
      <c r="E113" s="77" t="s">
        <v>399</v>
      </c>
      <c r="F113" s="71" t="s">
        <v>227</v>
      </c>
      <c r="G113" s="81">
        <v>0</v>
      </c>
      <c r="H113" s="81">
        <v>0</v>
      </c>
      <c r="I113" s="81">
        <v>0</v>
      </c>
      <c r="J113" s="81">
        <v>0</v>
      </c>
      <c r="K113" s="81">
        <v>0</v>
      </c>
      <c r="L113" s="81">
        <v>0</v>
      </c>
      <c r="M113" s="81">
        <v>0</v>
      </c>
      <c r="N113" s="81">
        <v>0</v>
      </c>
      <c r="O113" s="81">
        <v>0</v>
      </c>
      <c r="P113" s="81">
        <v>0</v>
      </c>
      <c r="Q113" s="81">
        <v>0</v>
      </c>
      <c r="R113" s="81">
        <v>0</v>
      </c>
      <c r="S113" s="182" t="s">
        <v>939</v>
      </c>
      <c r="T113" s="10" t="str">
        <f>VLOOKUP(E113,'TB (H)'!$A$2:$B$279,2,0)</f>
        <v>ISO CERTIFICATION</v>
      </c>
      <c r="AA113" s="43"/>
      <c r="AB113" s="272"/>
      <c r="AC113" s="43"/>
    </row>
    <row r="114" spans="2:29" x14ac:dyDescent="0.2">
      <c r="B114" s="43"/>
      <c r="D114" s="149" t="s">
        <v>31</v>
      </c>
      <c r="E114" s="77" t="s">
        <v>523</v>
      </c>
      <c r="F114" s="71" t="s">
        <v>524</v>
      </c>
      <c r="G114" s="81">
        <v>1635.42</v>
      </c>
      <c r="H114" s="81">
        <v>1567.56</v>
      </c>
      <c r="I114" s="81">
        <v>2714.01</v>
      </c>
      <c r="J114" s="81">
        <v>8932.5400000000009</v>
      </c>
      <c r="K114" s="81">
        <v>24338.639999999999</v>
      </c>
      <c r="L114" s="81">
        <v>2079.33</v>
      </c>
      <c r="M114" s="81">
        <v>4163.6899999999996</v>
      </c>
      <c r="N114" s="81">
        <v>5064.8</v>
      </c>
      <c r="O114" s="81">
        <v>5652.74</v>
      </c>
      <c r="P114" s="81">
        <v>16088.89</v>
      </c>
      <c r="Q114" s="81">
        <v>3774.82</v>
      </c>
      <c r="R114" s="81">
        <v>4864.1400000000003</v>
      </c>
      <c r="S114" s="182" t="s">
        <v>939</v>
      </c>
      <c r="T114" s="10" t="str">
        <f>VLOOKUP(E114,'TB (H)'!$A$2:$B$279,2,0)</f>
        <v>OTHER INBOUND TRANSPORTS</v>
      </c>
      <c r="AA114" s="43"/>
      <c r="AB114" s="272"/>
      <c r="AC114" s="43"/>
    </row>
    <row r="115" spans="2:29" x14ac:dyDescent="0.2">
      <c r="B115" s="43"/>
      <c r="D115" s="149" t="s">
        <v>31</v>
      </c>
      <c r="E115" s="77" t="s">
        <v>375</v>
      </c>
      <c r="F115" s="71" t="s">
        <v>207</v>
      </c>
      <c r="G115" s="81">
        <v>345.81</v>
      </c>
      <c r="H115" s="81">
        <v>345.81</v>
      </c>
      <c r="I115" s="81">
        <v>345.81</v>
      </c>
      <c r="J115" s="81">
        <v>345.81</v>
      </c>
      <c r="K115" s="81">
        <v>345.81</v>
      </c>
      <c r="L115" s="81">
        <v>345.81</v>
      </c>
      <c r="M115" s="81">
        <v>345.81</v>
      </c>
      <c r="N115" s="81">
        <v>603.79999999999995</v>
      </c>
      <c r="O115" s="81">
        <v>668.36</v>
      </c>
      <c r="P115" s="81">
        <v>640.20000000000005</v>
      </c>
      <c r="Q115" s="81">
        <v>741.07</v>
      </c>
      <c r="R115" s="81">
        <v>764.31</v>
      </c>
      <c r="S115" s="182" t="s">
        <v>939</v>
      </c>
      <c r="T115" s="10" t="str">
        <f>VLOOKUP(E115,'TB (H)'!$A$2:$B$279,2,0)</f>
        <v>OTHER MATERIAL ( CLEANING, HEALTHY, SIGNALS )</v>
      </c>
      <c r="AA115" s="43"/>
      <c r="AB115" s="272"/>
      <c r="AC115" s="43"/>
    </row>
    <row r="116" spans="2:29" x14ac:dyDescent="0.2">
      <c r="B116" s="43"/>
      <c r="D116" s="149" t="s">
        <v>31</v>
      </c>
      <c r="E116" s="77" t="s">
        <v>403</v>
      </c>
      <c r="F116" s="71" t="s">
        <v>230</v>
      </c>
      <c r="G116" s="81">
        <v>7640</v>
      </c>
      <c r="H116" s="81">
        <v>2044.75</v>
      </c>
      <c r="I116" s="81">
        <v>2044.75</v>
      </c>
      <c r="J116" s="81">
        <v>4845.32</v>
      </c>
      <c r="K116" s="81">
        <v>3994.41</v>
      </c>
      <c r="L116" s="81">
        <v>178</v>
      </c>
      <c r="M116" s="81">
        <v>1483.46</v>
      </c>
      <c r="N116" s="81">
        <v>2030.9</v>
      </c>
      <c r="O116" s="81">
        <v>2425</v>
      </c>
      <c r="P116" s="81">
        <v>1568.34</v>
      </c>
      <c r="Q116" s="81">
        <v>253</v>
      </c>
      <c r="R116" s="81">
        <v>216</v>
      </c>
      <c r="S116" s="182" t="s">
        <v>939</v>
      </c>
      <c r="T116" s="10" t="str">
        <f>VLOOKUP(E116,'TB (H)'!$A$2:$B$279,2,0)</f>
        <v>OTHER TECHNICAL SERVICES AND CONSULTANCY</v>
      </c>
      <c r="AA116" s="43"/>
      <c r="AB116" s="272"/>
      <c r="AC116" s="43"/>
    </row>
    <row r="117" spans="2:29" x14ac:dyDescent="0.2">
      <c r="B117" s="43"/>
      <c r="D117" s="149" t="s">
        <v>31</v>
      </c>
      <c r="E117" s="77" t="s">
        <v>437</v>
      </c>
      <c r="F117" s="71" t="s">
        <v>263</v>
      </c>
      <c r="G117" s="81">
        <v>5667.26</v>
      </c>
      <c r="H117" s="81">
        <v>3118.1</v>
      </c>
      <c r="I117" s="81">
        <v>2530.64</v>
      </c>
      <c r="J117" s="81">
        <v>2254</v>
      </c>
      <c r="K117" s="81">
        <v>12280</v>
      </c>
      <c r="L117" s="81">
        <v>4410</v>
      </c>
      <c r="M117" s="81">
        <v>2156</v>
      </c>
      <c r="N117" s="81">
        <v>6114.52</v>
      </c>
      <c r="O117" s="81">
        <v>2103.62</v>
      </c>
      <c r="P117" s="81">
        <v>9877.6200000000008</v>
      </c>
      <c r="Q117" s="81">
        <v>45.62</v>
      </c>
      <c r="R117" s="81">
        <v>2201.62</v>
      </c>
      <c r="S117" s="182" t="s">
        <v>939</v>
      </c>
      <c r="T117" s="10" t="str">
        <f>VLOOKUP(E117,'TB (H)'!$A$2:$B$279,2,0)</f>
        <v>PLANT AND SYSTEM LEASING</v>
      </c>
      <c r="AA117" s="43"/>
      <c r="AB117" s="272"/>
      <c r="AC117" s="43"/>
    </row>
    <row r="118" spans="2:29" x14ac:dyDescent="0.2">
      <c r="B118" s="43"/>
      <c r="D118" s="149" t="s">
        <v>31</v>
      </c>
      <c r="E118" s="77" t="s">
        <v>434</v>
      </c>
      <c r="F118" s="71" t="s">
        <v>260</v>
      </c>
      <c r="G118" s="81">
        <v>6322.15</v>
      </c>
      <c r="H118" s="81">
        <v>9009.23</v>
      </c>
      <c r="I118" s="81">
        <v>9495.64</v>
      </c>
      <c r="J118" s="81">
        <v>6755.3</v>
      </c>
      <c r="K118" s="81">
        <v>4605.01</v>
      </c>
      <c r="L118" s="81">
        <v>12324.52</v>
      </c>
      <c r="M118" s="81">
        <v>8385.17</v>
      </c>
      <c r="N118" s="81">
        <v>2649.88</v>
      </c>
      <c r="O118" s="81">
        <v>11053.77</v>
      </c>
      <c r="P118" s="81">
        <v>12990.19</v>
      </c>
      <c r="Q118" s="81">
        <v>1011.23</v>
      </c>
      <c r="R118" s="81">
        <v>9228.1200000000008</v>
      </c>
      <c r="S118" s="182" t="s">
        <v>939</v>
      </c>
      <c r="T118" s="10" t="str">
        <f>VLOOKUP(E118,'TB (H)'!$A$2:$B$279,2,0)</f>
        <v>RENT OF EQUIPMENT</v>
      </c>
      <c r="AA118" s="43"/>
      <c r="AB118" s="272"/>
      <c r="AC118" s="43"/>
    </row>
    <row r="119" spans="2:29" x14ac:dyDescent="0.2">
      <c r="B119" s="43"/>
      <c r="D119" s="149" t="s">
        <v>31</v>
      </c>
      <c r="E119" s="77" t="s">
        <v>463</v>
      </c>
      <c r="F119" s="71" t="s">
        <v>492</v>
      </c>
      <c r="G119" s="81">
        <v>0</v>
      </c>
      <c r="H119" s="81">
        <v>0</v>
      </c>
      <c r="I119" s="81">
        <v>0</v>
      </c>
      <c r="J119" s="81">
        <v>0</v>
      </c>
      <c r="K119" s="81">
        <v>0</v>
      </c>
      <c r="L119" s="81">
        <v>0</v>
      </c>
      <c r="M119" s="81">
        <v>0</v>
      </c>
      <c r="N119" s="81">
        <v>0</v>
      </c>
      <c r="O119" s="81">
        <v>0</v>
      </c>
      <c r="P119" s="81">
        <v>0</v>
      </c>
      <c r="Q119" s="81">
        <v>0</v>
      </c>
      <c r="R119" s="81">
        <v>0</v>
      </c>
      <c r="S119" s="182" t="s">
        <v>939</v>
      </c>
      <c r="T119" s="10" t="str">
        <f>VLOOKUP(E119,'TB (H)'!$A$2:$B$279,2,0)</f>
        <v>INDUSTRIALS INSURANCES</v>
      </c>
      <c r="AA119" s="43"/>
      <c r="AB119" s="272"/>
      <c r="AC119" s="43"/>
    </row>
    <row r="120" spans="2:29" x14ac:dyDescent="0.2">
      <c r="B120" s="43"/>
      <c r="D120" s="149" t="s">
        <v>31</v>
      </c>
      <c r="E120" s="77" t="s">
        <v>1064</v>
      </c>
      <c r="F120" s="71" t="s">
        <v>1065</v>
      </c>
      <c r="G120" s="81">
        <v>0</v>
      </c>
      <c r="H120" s="81">
        <v>0</v>
      </c>
      <c r="I120" s="81">
        <v>0</v>
      </c>
      <c r="J120" s="81">
        <v>0</v>
      </c>
      <c r="K120" s="81">
        <v>0</v>
      </c>
      <c r="L120" s="81">
        <v>0</v>
      </c>
      <c r="M120" s="81">
        <v>0</v>
      </c>
      <c r="N120" s="81">
        <v>0</v>
      </c>
      <c r="O120" s="81">
        <v>0</v>
      </c>
      <c r="P120" s="81">
        <v>0</v>
      </c>
      <c r="Q120" s="81">
        <v>0</v>
      </c>
      <c r="R120" s="81">
        <v>43345.9</v>
      </c>
      <c r="S120" s="182" t="s">
        <v>939</v>
      </c>
      <c r="T120" s="10" t="str">
        <f>VLOOKUP(E120,'TB (H)'!$A$2:$B$279,2,0)</f>
        <v xml:space="preserve">Other Services </v>
      </c>
      <c r="AA120" s="43"/>
      <c r="AB120" s="272"/>
      <c r="AC120" s="43"/>
    </row>
    <row r="121" spans="2:29" x14ac:dyDescent="0.2">
      <c r="B121" s="43"/>
      <c r="D121" s="149" t="s">
        <v>32</v>
      </c>
      <c r="E121" s="77" t="s">
        <v>371</v>
      </c>
      <c r="F121" s="71" t="s">
        <v>204</v>
      </c>
      <c r="G121" s="81">
        <v>3961298.71</v>
      </c>
      <c r="H121" s="81">
        <v>0</v>
      </c>
      <c r="I121" s="81">
        <v>0</v>
      </c>
      <c r="J121" s="81">
        <v>0</v>
      </c>
      <c r="K121" s="81">
        <v>0</v>
      </c>
      <c r="L121" s="81">
        <v>0</v>
      </c>
      <c r="M121" s="81">
        <v>0</v>
      </c>
      <c r="N121" s="81">
        <v>0</v>
      </c>
      <c r="O121" s="81">
        <v>0</v>
      </c>
      <c r="P121" s="81">
        <v>0</v>
      </c>
      <c r="Q121" s="81">
        <v>0</v>
      </c>
      <c r="R121" s="81">
        <v>0</v>
      </c>
      <c r="S121" s="182" t="s">
        <v>939</v>
      </c>
      <c r="T121" s="10" t="str">
        <f>VLOOKUP(E121,'TB (H)'!$A$2:$B$279,2,0)</f>
        <v>OPENING BALANCES MAINTENANCE</v>
      </c>
      <c r="AA121" s="43"/>
      <c r="AB121" s="272"/>
      <c r="AC121" s="43"/>
    </row>
    <row r="122" spans="2:29" x14ac:dyDescent="0.2">
      <c r="B122" s="43"/>
      <c r="D122" s="149" t="s">
        <v>32</v>
      </c>
      <c r="E122" s="77" t="s">
        <v>372</v>
      </c>
      <c r="F122" s="71" t="s">
        <v>205</v>
      </c>
      <c r="G122" s="81">
        <v>-3974458.88</v>
      </c>
      <c r="H122" s="81">
        <v>-70409.899999999994</v>
      </c>
      <c r="I122" s="81">
        <v>-42309.27</v>
      </c>
      <c r="J122" s="81">
        <v>91112.81</v>
      </c>
      <c r="K122" s="81">
        <v>9511.32</v>
      </c>
      <c r="L122" s="81">
        <v>-39289.25</v>
      </c>
      <c r="M122" s="81">
        <v>-42042.19</v>
      </c>
      <c r="N122" s="81">
        <v>148535.98000000001</v>
      </c>
      <c r="O122" s="81">
        <v>-62862.84</v>
      </c>
      <c r="P122" s="81">
        <v>-56639.21</v>
      </c>
      <c r="Q122" s="81">
        <v>-113408.2</v>
      </c>
      <c r="R122" s="81">
        <v>28514.45</v>
      </c>
      <c r="S122" s="182" t="s">
        <v>939</v>
      </c>
      <c r="T122" s="10" t="str">
        <f>VLOOKUP(E122,'TB (H)'!$A$2:$B$279,2,0)</f>
        <v>CLOSING BALANCES MAINTENANCE</v>
      </c>
      <c r="AA122" s="43"/>
      <c r="AB122" s="272"/>
      <c r="AC122" s="43"/>
    </row>
    <row r="123" spans="2:29" x14ac:dyDescent="0.2">
      <c r="B123" s="43"/>
      <c r="D123" s="149" t="s">
        <v>32</v>
      </c>
      <c r="E123" s="77" t="s">
        <v>373</v>
      </c>
      <c r="F123" s="71" t="s">
        <v>203</v>
      </c>
      <c r="G123" s="81">
        <v>136489.57</v>
      </c>
      <c r="H123" s="81">
        <v>168479.81</v>
      </c>
      <c r="I123" s="81">
        <v>120569.66</v>
      </c>
      <c r="J123" s="81">
        <v>71243.5</v>
      </c>
      <c r="K123" s="81">
        <v>177700.86</v>
      </c>
      <c r="L123" s="81">
        <v>126967.36</v>
      </c>
      <c r="M123" s="81">
        <v>202707.86</v>
      </c>
      <c r="N123" s="81">
        <v>200725.31</v>
      </c>
      <c r="O123" s="81">
        <v>145739.78</v>
      </c>
      <c r="P123" s="81">
        <v>138807.34</v>
      </c>
      <c r="Q123" s="81">
        <v>174682</v>
      </c>
      <c r="R123" s="81">
        <v>98512.22</v>
      </c>
      <c r="S123" s="182" t="s">
        <v>939</v>
      </c>
      <c r="T123" s="10" t="str">
        <f>VLOOKUP(E123,'TB (H)'!$A$2:$B$279,2,0)</f>
        <v>COST OF MAINTENANCE MATERIAL</v>
      </c>
      <c r="AA123" s="43"/>
      <c r="AB123" s="272"/>
      <c r="AC123" s="43"/>
    </row>
    <row r="124" spans="2:29" x14ac:dyDescent="0.2">
      <c r="B124" s="43"/>
      <c r="D124" s="149" t="s">
        <v>32</v>
      </c>
      <c r="E124" s="77" t="s">
        <v>1042</v>
      </c>
      <c r="F124" s="71" t="s">
        <v>1043</v>
      </c>
      <c r="G124" s="81">
        <v>0</v>
      </c>
      <c r="H124" s="81">
        <v>0</v>
      </c>
      <c r="I124" s="81">
        <v>0</v>
      </c>
      <c r="J124" s="81">
        <v>0</v>
      </c>
      <c r="K124" s="81">
        <v>0</v>
      </c>
      <c r="L124" s="81">
        <v>0</v>
      </c>
      <c r="M124" s="81">
        <v>50940.53</v>
      </c>
      <c r="N124" s="81">
        <v>77759.149999999994</v>
      </c>
      <c r="O124" s="81">
        <v>37492.68</v>
      </c>
      <c r="P124" s="81">
        <v>40989.919999999998</v>
      </c>
      <c r="Q124" s="81">
        <v>18652.599999999999</v>
      </c>
      <c r="R124" s="81">
        <v>6257</v>
      </c>
      <c r="S124" s="182" t="s">
        <v>939</v>
      </c>
      <c r="T124" s="10" t="str">
        <f>VLOOKUP(E124,'TB (H)'!$A$2:$B$279,2,0)</f>
        <v>MAINTENANCE NON STOCK PARTS</v>
      </c>
      <c r="AA124" s="43"/>
      <c r="AB124" s="272"/>
      <c r="AC124" s="43"/>
    </row>
    <row r="125" spans="2:29" x14ac:dyDescent="0.2">
      <c r="B125" s="43"/>
      <c r="D125" s="149" t="s">
        <v>32</v>
      </c>
      <c r="E125" s="77" t="s">
        <v>402</v>
      </c>
      <c r="F125" s="71" t="s">
        <v>229</v>
      </c>
      <c r="G125" s="81">
        <v>137021.34</v>
      </c>
      <c r="H125" s="81">
        <v>122569.89</v>
      </c>
      <c r="I125" s="81">
        <v>179314</v>
      </c>
      <c r="J125" s="81">
        <v>86461.72</v>
      </c>
      <c r="K125" s="81">
        <v>73005.59</v>
      </c>
      <c r="L125" s="81">
        <v>133516.59</v>
      </c>
      <c r="M125" s="81">
        <v>49402.41</v>
      </c>
      <c r="N125" s="81">
        <v>561859.32999999996</v>
      </c>
      <c r="O125" s="81">
        <v>139345.21</v>
      </c>
      <c r="P125" s="81">
        <v>96837.86</v>
      </c>
      <c r="Q125" s="81">
        <v>180316</v>
      </c>
      <c r="R125" s="81">
        <v>43812.45</v>
      </c>
      <c r="S125" s="182" t="s">
        <v>939</v>
      </c>
      <c r="T125" s="10" t="str">
        <f>VLOOKUP(E125,'TB (H)'!$A$2:$B$279,2,0)</f>
        <v>TECHNICAL SERVICES AND CONSULTANCY FOR MAINTENANCE</v>
      </c>
      <c r="AA125" s="43"/>
      <c r="AB125" s="272"/>
      <c r="AC125" s="43"/>
    </row>
    <row r="126" spans="2:29" x14ac:dyDescent="0.2">
      <c r="B126" s="43"/>
      <c r="D126" s="149"/>
      <c r="E126" s="77"/>
      <c r="F126" s="71"/>
      <c r="G126" s="81">
        <v>0</v>
      </c>
      <c r="H126" s="81">
        <v>0</v>
      </c>
      <c r="I126" s="81">
        <v>0</v>
      </c>
      <c r="J126" s="81">
        <v>0</v>
      </c>
      <c r="K126" s="81">
        <v>0</v>
      </c>
      <c r="L126" s="81">
        <v>0</v>
      </c>
      <c r="M126" s="81">
        <v>0</v>
      </c>
      <c r="N126" s="81">
        <v>0</v>
      </c>
      <c r="O126" s="81">
        <v>0</v>
      </c>
      <c r="P126" s="81">
        <v>0</v>
      </c>
      <c r="Q126" s="81">
        <v>0</v>
      </c>
      <c r="R126" s="81">
        <v>0</v>
      </c>
      <c r="S126" s="182"/>
      <c r="AA126" s="43"/>
      <c r="AB126" s="272"/>
      <c r="AC126" s="43"/>
    </row>
    <row r="127" spans="2:29" x14ac:dyDescent="0.2">
      <c r="B127" s="43"/>
      <c r="D127" s="149"/>
      <c r="E127" s="77"/>
      <c r="F127" s="71"/>
      <c r="G127" s="81">
        <v>0</v>
      </c>
      <c r="H127" s="81">
        <v>0</v>
      </c>
      <c r="I127" s="81">
        <v>0</v>
      </c>
      <c r="J127" s="81">
        <v>0</v>
      </c>
      <c r="K127" s="81">
        <v>0</v>
      </c>
      <c r="L127" s="81">
        <v>0</v>
      </c>
      <c r="M127" s="81">
        <v>0</v>
      </c>
      <c r="N127" s="81">
        <v>0</v>
      </c>
      <c r="O127" s="81">
        <v>0</v>
      </c>
      <c r="P127" s="81">
        <v>0</v>
      </c>
      <c r="Q127" s="81">
        <v>0</v>
      </c>
      <c r="R127" s="81">
        <v>0</v>
      </c>
      <c r="S127" s="182"/>
      <c r="AA127" s="43"/>
      <c r="AB127" s="272"/>
      <c r="AC127" s="43"/>
    </row>
    <row r="128" spans="2:29" x14ac:dyDescent="0.2">
      <c r="B128" s="43"/>
      <c r="D128" s="149"/>
      <c r="E128" s="77"/>
      <c r="F128" s="71"/>
      <c r="G128" s="81">
        <v>0</v>
      </c>
      <c r="H128" s="81">
        <v>0</v>
      </c>
      <c r="I128" s="81">
        <v>0</v>
      </c>
      <c r="J128" s="81">
        <v>0</v>
      </c>
      <c r="K128" s="81">
        <v>0</v>
      </c>
      <c r="L128" s="81">
        <v>0</v>
      </c>
      <c r="M128" s="81">
        <v>0</v>
      </c>
      <c r="N128" s="81">
        <v>0</v>
      </c>
      <c r="O128" s="81">
        <v>0</v>
      </c>
      <c r="P128" s="81">
        <v>0</v>
      </c>
      <c r="Q128" s="81">
        <v>0</v>
      </c>
      <c r="R128" s="81">
        <v>0</v>
      </c>
      <c r="S128" s="182"/>
      <c r="AA128" s="43"/>
      <c r="AB128" s="272"/>
      <c r="AC128" s="43"/>
    </row>
    <row r="129" spans="2:29" x14ac:dyDescent="0.2">
      <c r="B129" s="43"/>
      <c r="D129" s="149"/>
      <c r="E129" s="77"/>
      <c r="F129" s="71"/>
      <c r="G129" s="81">
        <v>0</v>
      </c>
      <c r="H129" s="81">
        <v>0</v>
      </c>
      <c r="I129" s="81">
        <v>0</v>
      </c>
      <c r="J129" s="81">
        <v>0</v>
      </c>
      <c r="K129" s="81">
        <v>0</v>
      </c>
      <c r="L129" s="81">
        <v>0</v>
      </c>
      <c r="M129" s="81">
        <v>0</v>
      </c>
      <c r="N129" s="81">
        <v>0</v>
      </c>
      <c r="O129" s="81">
        <v>0</v>
      </c>
      <c r="P129" s="81">
        <v>0</v>
      </c>
      <c r="Q129" s="81">
        <v>0</v>
      </c>
      <c r="R129" s="81">
        <v>0</v>
      </c>
      <c r="S129" s="182"/>
      <c r="AA129" s="43"/>
      <c r="AB129" s="272"/>
      <c r="AC129" s="43"/>
    </row>
    <row r="130" spans="2:29" x14ac:dyDescent="0.2">
      <c r="B130" s="43"/>
      <c r="D130" s="149" t="s">
        <v>43</v>
      </c>
      <c r="E130" s="77" t="s">
        <v>431</v>
      </c>
      <c r="F130" s="71" t="s">
        <v>257</v>
      </c>
      <c r="G130" s="81">
        <v>185</v>
      </c>
      <c r="H130" s="81">
        <v>1255.8699999999999</v>
      </c>
      <c r="I130" s="81">
        <v>2938.35</v>
      </c>
      <c r="J130" s="81">
        <v>46.66</v>
      </c>
      <c r="K130" s="81">
        <v>3336.08</v>
      </c>
      <c r="L130" s="81">
        <v>453.03</v>
      </c>
      <c r="M130" s="81">
        <v>440.37</v>
      </c>
      <c r="N130" s="81">
        <v>650.95000000000005</v>
      </c>
      <c r="O130" s="81">
        <v>71.41</v>
      </c>
      <c r="P130" s="81">
        <v>249.51</v>
      </c>
      <c r="Q130" s="81">
        <v>7.46</v>
      </c>
      <c r="R130" s="81">
        <v>285.89999999999998</v>
      </c>
      <c r="S130" s="182" t="s">
        <v>945</v>
      </c>
      <c r="T130" s="10" t="str">
        <f>VLOOKUP(E130,'TB (H)'!$A$2:$B$279,2,0)</f>
        <v>STATIONERY AND PRINTERS</v>
      </c>
      <c r="AA130" s="43"/>
      <c r="AB130" s="272"/>
      <c r="AC130" s="43"/>
    </row>
    <row r="131" spans="2:29" x14ac:dyDescent="0.2">
      <c r="B131" s="43"/>
      <c r="D131" s="149" t="s">
        <v>43</v>
      </c>
      <c r="E131" s="77" t="s">
        <v>450</v>
      </c>
      <c r="F131" s="71" t="s">
        <v>275</v>
      </c>
      <c r="G131" s="81">
        <v>0</v>
      </c>
      <c r="H131" s="81">
        <v>0</v>
      </c>
      <c r="I131" s="81">
        <v>71</v>
      </c>
      <c r="J131" s="81">
        <v>0</v>
      </c>
      <c r="K131" s="81">
        <v>0</v>
      </c>
      <c r="L131" s="81">
        <v>0</v>
      </c>
      <c r="M131" s="81">
        <v>117.63</v>
      </c>
      <c r="N131" s="81">
        <v>50.04</v>
      </c>
      <c r="O131" s="81">
        <v>10.84</v>
      </c>
      <c r="P131" s="81">
        <v>4906.42</v>
      </c>
      <c r="Q131" s="81">
        <v>-4915</v>
      </c>
      <c r="R131" s="81">
        <v>1260.6099999999999</v>
      </c>
      <c r="S131" s="182" t="s">
        <v>945</v>
      </c>
      <c r="T131" s="10" t="str">
        <f>VLOOKUP(E131,'TB (H)'!$A$2:$B$279,2,0)</f>
        <v>GIFTS</v>
      </c>
      <c r="AA131" s="43"/>
      <c r="AB131" s="272"/>
      <c r="AC131" s="43"/>
    </row>
    <row r="132" spans="2:29" x14ac:dyDescent="0.2">
      <c r="B132" s="43"/>
      <c r="D132" s="149" t="s">
        <v>43</v>
      </c>
      <c r="E132" s="77" t="s">
        <v>985</v>
      </c>
      <c r="F132" s="71" t="s">
        <v>986</v>
      </c>
      <c r="G132" s="81">
        <v>0</v>
      </c>
      <c r="H132" s="81">
        <v>2812.62</v>
      </c>
      <c r="I132" s="81">
        <v>0</v>
      </c>
      <c r="J132" s="81">
        <v>0</v>
      </c>
      <c r="K132" s="81">
        <v>0</v>
      </c>
      <c r="L132" s="81">
        <v>0</v>
      </c>
      <c r="M132" s="81">
        <v>0</v>
      </c>
      <c r="N132" s="81">
        <v>0</v>
      </c>
      <c r="O132" s="81">
        <v>0</v>
      </c>
      <c r="P132" s="81">
        <v>0</v>
      </c>
      <c r="Q132" s="81">
        <v>0</v>
      </c>
      <c r="R132" s="81">
        <v>0</v>
      </c>
      <c r="S132" s="182"/>
      <c r="AA132" s="43"/>
      <c r="AB132" s="272"/>
      <c r="AC132" s="43"/>
    </row>
    <row r="133" spans="2:29" x14ac:dyDescent="0.2">
      <c r="B133" s="43"/>
      <c r="D133" s="149" t="s">
        <v>43</v>
      </c>
      <c r="E133" s="77" t="s">
        <v>1004</v>
      </c>
      <c r="F133" s="71" t="s">
        <v>1020</v>
      </c>
      <c r="G133" s="81">
        <v>0</v>
      </c>
      <c r="H133" s="81">
        <v>0</v>
      </c>
      <c r="I133" s="81">
        <v>0</v>
      </c>
      <c r="J133" s="81">
        <v>0</v>
      </c>
      <c r="K133" s="81">
        <v>0</v>
      </c>
      <c r="L133" s="81">
        <v>0</v>
      </c>
      <c r="M133" s="81">
        <v>0</v>
      </c>
      <c r="N133" s="81">
        <v>0</v>
      </c>
      <c r="O133" s="81">
        <v>0</v>
      </c>
      <c r="P133" s="81">
        <v>24.05</v>
      </c>
      <c r="Q133" s="81">
        <v>4117.84</v>
      </c>
      <c r="R133" s="81">
        <v>0</v>
      </c>
      <c r="S133" s="182"/>
      <c r="AA133" s="43"/>
      <c r="AB133" s="272"/>
      <c r="AC133" s="43"/>
    </row>
    <row r="134" spans="2:29" x14ac:dyDescent="0.2">
      <c r="B134" s="43"/>
      <c r="D134" s="149" t="s">
        <v>43</v>
      </c>
      <c r="E134" s="77" t="s">
        <v>388</v>
      </c>
      <c r="F134" s="71" t="s">
        <v>522</v>
      </c>
      <c r="G134" s="81">
        <v>0</v>
      </c>
      <c r="H134" s="81">
        <v>0</v>
      </c>
      <c r="I134" s="81">
        <v>0</v>
      </c>
      <c r="J134" s="81">
        <v>0</v>
      </c>
      <c r="K134" s="81">
        <v>0</v>
      </c>
      <c r="L134" s="81">
        <v>0</v>
      </c>
      <c r="M134" s="81">
        <v>0</v>
      </c>
      <c r="N134" s="81">
        <v>0</v>
      </c>
      <c r="O134" s="81">
        <v>0</v>
      </c>
      <c r="P134" s="81">
        <v>0</v>
      </c>
      <c r="Q134" s="81">
        <v>0</v>
      </c>
      <c r="R134" s="81">
        <v>0</v>
      </c>
      <c r="S134" s="182" t="s">
        <v>945</v>
      </c>
      <c r="T134" s="10" t="str">
        <f>VLOOKUP(E134,'TB (H)'!$A$2:$B$279,2,0)</f>
        <v>ADVERTISING EXPENSES AND SPONSORING</v>
      </c>
      <c r="AA134" s="43"/>
      <c r="AB134" s="272"/>
      <c r="AC134" s="43"/>
    </row>
    <row r="135" spans="2:29" x14ac:dyDescent="0.2">
      <c r="B135" s="43"/>
      <c r="D135" s="149" t="s">
        <v>43</v>
      </c>
      <c r="E135" s="77" t="s">
        <v>422</v>
      </c>
      <c r="F135" s="71" t="s">
        <v>248</v>
      </c>
      <c r="G135" s="81">
        <v>6666.58</v>
      </c>
      <c r="H135" s="81">
        <v>8200.56</v>
      </c>
      <c r="I135" s="81">
        <v>8045.3</v>
      </c>
      <c r="J135" s="81">
        <v>8296.17</v>
      </c>
      <c r="K135" s="81">
        <v>9889.2099999999991</v>
      </c>
      <c r="L135" s="81">
        <v>4611.76</v>
      </c>
      <c r="M135" s="81">
        <v>5967.59</v>
      </c>
      <c r="N135" s="81">
        <v>9705.9500000000007</v>
      </c>
      <c r="O135" s="81">
        <v>39801.730000000003</v>
      </c>
      <c r="P135" s="81">
        <v>7493.07</v>
      </c>
      <c r="Q135" s="81">
        <v>7574.91</v>
      </c>
      <c r="R135" s="81">
        <v>8774.9699999999993</v>
      </c>
      <c r="S135" s="182" t="s">
        <v>945</v>
      </c>
      <c r="T135" s="10" t="str">
        <f>VLOOKUP(E135,'TB (H)'!$A$2:$B$279,2,0)</f>
        <v>IT CONSULTANCIES</v>
      </c>
      <c r="AA135" s="43"/>
      <c r="AB135" s="272"/>
      <c r="AC135" s="43"/>
    </row>
    <row r="136" spans="2:29" x14ac:dyDescent="0.2">
      <c r="B136" s="43"/>
      <c r="D136" s="149" t="s">
        <v>43</v>
      </c>
      <c r="E136" s="77" t="s">
        <v>782</v>
      </c>
      <c r="F136" s="71" t="s">
        <v>783</v>
      </c>
      <c r="G136" s="81">
        <v>0</v>
      </c>
      <c r="H136" s="81">
        <v>0</v>
      </c>
      <c r="I136" s="81">
        <v>0</v>
      </c>
      <c r="J136" s="81">
        <v>0</v>
      </c>
      <c r="K136" s="81">
        <v>0</v>
      </c>
      <c r="L136" s="81">
        <v>332</v>
      </c>
      <c r="M136" s="81">
        <v>0</v>
      </c>
      <c r="N136" s="81">
        <v>0</v>
      </c>
      <c r="O136" s="81">
        <v>0</v>
      </c>
      <c r="P136" s="81">
        <v>8162.06</v>
      </c>
      <c r="Q136" s="81">
        <v>2134.6999999999998</v>
      </c>
      <c r="R136" s="81">
        <v>1138.92</v>
      </c>
      <c r="S136" s="182" t="s">
        <v>945</v>
      </c>
      <c r="T136" s="10" t="str">
        <f>VLOOKUP(E136,'TB (H)'!$A$2:$B$279,2,0)</f>
        <v>PAYROLL CONSULTANCIES</v>
      </c>
      <c r="AA136" s="43"/>
      <c r="AB136" s="272"/>
      <c r="AC136" s="43"/>
    </row>
    <row r="137" spans="2:29" x14ac:dyDescent="0.2">
      <c r="B137" s="43"/>
      <c r="D137" s="149" t="s">
        <v>43</v>
      </c>
      <c r="E137" s="77" t="s">
        <v>376</v>
      </c>
      <c r="F137" s="71" t="s">
        <v>208</v>
      </c>
      <c r="G137" s="81">
        <v>4604.2299999999996</v>
      </c>
      <c r="H137" s="81">
        <v>2299.88</v>
      </c>
      <c r="I137" s="81">
        <v>1480.47</v>
      </c>
      <c r="J137" s="81">
        <v>1967.27</v>
      </c>
      <c r="K137" s="81">
        <v>1170.03</v>
      </c>
      <c r="L137" s="81">
        <v>833.63</v>
      </c>
      <c r="M137" s="81">
        <v>1775.68</v>
      </c>
      <c r="N137" s="81">
        <v>2716.63</v>
      </c>
      <c r="O137" s="81">
        <v>1284.1099999999999</v>
      </c>
      <c r="P137" s="81">
        <v>2531.06</v>
      </c>
      <c r="Q137" s="81">
        <v>497.11</v>
      </c>
      <c r="R137" s="81">
        <v>341.32</v>
      </c>
      <c r="S137" s="182" t="s">
        <v>945</v>
      </c>
      <c r="T137" s="10" t="str">
        <f>VLOOKUP(E137,'TB (H)'!$A$2:$B$279,2,0)</f>
        <v>IT MATERIAL</v>
      </c>
      <c r="AA137" s="43"/>
      <c r="AB137" s="272"/>
      <c r="AC137" s="43"/>
    </row>
    <row r="138" spans="2:29" x14ac:dyDescent="0.2">
      <c r="B138" s="43"/>
      <c r="D138" s="149" t="s">
        <v>43</v>
      </c>
      <c r="E138" s="77" t="s">
        <v>428</v>
      </c>
      <c r="F138" s="71" t="s">
        <v>254</v>
      </c>
      <c r="G138" s="81">
        <v>1091.8599999999999</v>
      </c>
      <c r="H138" s="81">
        <v>1194.83</v>
      </c>
      <c r="I138" s="81">
        <v>-1932.47</v>
      </c>
      <c r="J138" s="81">
        <v>955.96</v>
      </c>
      <c r="K138" s="81">
        <v>310.11</v>
      </c>
      <c r="L138" s="81">
        <v>426.77</v>
      </c>
      <c r="M138" s="81">
        <v>878.07</v>
      </c>
      <c r="N138" s="81">
        <v>1135.1400000000001</v>
      </c>
      <c r="O138" s="81">
        <v>974.26</v>
      </c>
      <c r="P138" s="81">
        <v>1357.95</v>
      </c>
      <c r="Q138" s="81">
        <v>920.77</v>
      </c>
      <c r="R138" s="81">
        <v>334.8</v>
      </c>
      <c r="S138" s="182" t="s">
        <v>945</v>
      </c>
      <c r="T138" s="10" t="str">
        <f>VLOOKUP(E138,'TB (H)'!$A$2:$B$279,2,0)</f>
        <v>MOBILE EXPENSES</v>
      </c>
      <c r="AA138" s="43"/>
      <c r="AB138" s="272"/>
      <c r="AC138" s="43"/>
    </row>
    <row r="139" spans="2:29" x14ac:dyDescent="0.2">
      <c r="B139" s="43"/>
      <c r="D139" s="149" t="s">
        <v>43</v>
      </c>
      <c r="E139" s="77" t="s">
        <v>427</v>
      </c>
      <c r="F139" s="71" t="s">
        <v>253</v>
      </c>
      <c r="G139" s="81">
        <v>125</v>
      </c>
      <c r="H139" s="81">
        <v>250.57</v>
      </c>
      <c r="I139" s="81">
        <v>125.95</v>
      </c>
      <c r="J139" s="81">
        <v>125.28</v>
      </c>
      <c r="K139" s="81">
        <v>23.73</v>
      </c>
      <c r="L139" s="81">
        <v>3406.24</v>
      </c>
      <c r="M139" s="81">
        <v>-3155.8</v>
      </c>
      <c r="N139" s="81">
        <v>125.1</v>
      </c>
      <c r="O139" s="81">
        <v>125.39</v>
      </c>
      <c r="P139" s="81">
        <v>125.02</v>
      </c>
      <c r="Q139" s="81">
        <v>125</v>
      </c>
      <c r="R139" s="81">
        <v>125.03</v>
      </c>
      <c r="S139" s="182" t="s">
        <v>945</v>
      </c>
      <c r="T139" s="10" t="str">
        <f>VLOOKUP(E139,'TB (H)'!$A$2:$B$279,2,0)</f>
        <v>TELEPHONE EXPENSES</v>
      </c>
      <c r="AA139" s="43"/>
      <c r="AB139" s="272"/>
      <c r="AC139" s="43"/>
    </row>
    <row r="140" spans="2:29" x14ac:dyDescent="0.2">
      <c r="B140" s="43"/>
      <c r="D140" s="149" t="s">
        <v>43</v>
      </c>
      <c r="E140" s="77" t="s">
        <v>430</v>
      </c>
      <c r="F140" s="71" t="s">
        <v>256</v>
      </c>
      <c r="G140" s="81">
        <v>0</v>
      </c>
      <c r="H140" s="81">
        <v>997.6</v>
      </c>
      <c r="I140" s="81">
        <v>0</v>
      </c>
      <c r="J140" s="81">
        <v>0</v>
      </c>
      <c r="K140" s="81">
        <v>0</v>
      </c>
      <c r="L140" s="81">
        <v>0</v>
      </c>
      <c r="M140" s="81">
        <v>0</v>
      </c>
      <c r="N140" s="81">
        <v>0</v>
      </c>
      <c r="O140" s="81">
        <v>0</v>
      </c>
      <c r="P140" s="81">
        <v>0</v>
      </c>
      <c r="Q140" s="81">
        <v>0</v>
      </c>
      <c r="R140" s="81">
        <v>0</v>
      </c>
      <c r="S140" s="182" t="s">
        <v>945</v>
      </c>
      <c r="T140" s="10" t="str">
        <f>VLOOKUP(E140,'TB (H)'!$A$2:$B$279,2,0)</f>
        <v>REPRESENTATION EXPENSES</v>
      </c>
      <c r="AA140" s="43"/>
      <c r="AB140" s="272"/>
      <c r="AC140" s="43"/>
    </row>
    <row r="141" spans="2:29" x14ac:dyDescent="0.2">
      <c r="B141" s="43"/>
      <c r="D141" s="149" t="s">
        <v>43</v>
      </c>
      <c r="E141" s="77" t="s">
        <v>417</v>
      </c>
      <c r="F141" s="71" t="s">
        <v>243</v>
      </c>
      <c r="G141" s="81">
        <v>1381.92</v>
      </c>
      <c r="H141" s="81">
        <v>1277.93</v>
      </c>
      <c r="I141" s="81">
        <v>2528.1999999999998</v>
      </c>
      <c r="J141" s="81">
        <v>176.8</v>
      </c>
      <c r="K141" s="81">
        <v>2296.71</v>
      </c>
      <c r="L141" s="81">
        <v>892.98</v>
      </c>
      <c r="M141" s="81">
        <v>2582.13</v>
      </c>
      <c r="N141" s="81">
        <v>693.48</v>
      </c>
      <c r="O141" s="81">
        <v>875.34</v>
      </c>
      <c r="P141" s="81">
        <v>837.55</v>
      </c>
      <c r="Q141" s="81">
        <v>1759.93</v>
      </c>
      <c r="R141" s="81">
        <v>497.1</v>
      </c>
      <c r="S141" s="182" t="s">
        <v>945</v>
      </c>
      <c r="T141" s="10" t="str">
        <f>VLOOKUP(E141,'TB (H)'!$A$2:$B$279,2,0)</f>
        <v>BUSINESS LUNCH AND DINNERS (ENTERTAINMENT)</v>
      </c>
      <c r="AA141" s="43"/>
      <c r="AB141" s="272"/>
      <c r="AC141" s="43"/>
    </row>
    <row r="142" spans="2:29" x14ac:dyDescent="0.2">
      <c r="B142" s="43"/>
      <c r="D142" s="149" t="s">
        <v>43</v>
      </c>
      <c r="E142" s="77" t="s">
        <v>407</v>
      </c>
      <c r="F142" s="71" t="s">
        <v>233</v>
      </c>
      <c r="G142" s="81">
        <v>0</v>
      </c>
      <c r="H142" s="81">
        <v>0</v>
      </c>
      <c r="I142" s="81">
        <v>0</v>
      </c>
      <c r="J142" s="81">
        <v>0</v>
      </c>
      <c r="K142" s="81">
        <v>0</v>
      </c>
      <c r="L142" s="81">
        <v>0</v>
      </c>
      <c r="M142" s="81">
        <v>0</v>
      </c>
      <c r="N142" s="81">
        <v>0</v>
      </c>
      <c r="O142" s="81">
        <v>0</v>
      </c>
      <c r="P142" s="81">
        <v>0</v>
      </c>
      <c r="Q142" s="81">
        <v>0</v>
      </c>
      <c r="R142" s="81">
        <v>0</v>
      </c>
      <c r="S142" s="182" t="s">
        <v>945</v>
      </c>
      <c r="AA142" s="43"/>
      <c r="AB142" s="272"/>
      <c r="AC142" s="43"/>
    </row>
    <row r="143" spans="2:29" x14ac:dyDescent="0.2">
      <c r="B143" s="43"/>
      <c r="D143" s="149" t="s">
        <v>43</v>
      </c>
      <c r="E143" s="77" t="s">
        <v>408</v>
      </c>
      <c r="F143" s="71" t="s">
        <v>234</v>
      </c>
      <c r="G143" s="81">
        <v>81.45</v>
      </c>
      <c r="H143" s="81">
        <v>393.87</v>
      </c>
      <c r="I143" s="81">
        <v>80.83</v>
      </c>
      <c r="J143" s="81">
        <v>0</v>
      </c>
      <c r="K143" s="81">
        <v>689.22</v>
      </c>
      <c r="L143" s="81">
        <v>550.04999999999995</v>
      </c>
      <c r="M143" s="81">
        <v>-35.85</v>
      </c>
      <c r="N143" s="81">
        <v>915.85</v>
      </c>
      <c r="O143" s="81">
        <v>566.33000000000004</v>
      </c>
      <c r="P143" s="81">
        <v>356.38</v>
      </c>
      <c r="Q143" s="81">
        <v>322.33999999999997</v>
      </c>
      <c r="R143" s="81">
        <v>579.82000000000005</v>
      </c>
      <c r="S143" s="182" t="s">
        <v>945</v>
      </c>
      <c r="T143" s="10" t="str">
        <f>VLOOKUP(E143,'TB (H)'!$A$2:$B$279,2,0)</f>
        <v>TRAVEL EXPENSES  -  HOTEL</v>
      </c>
      <c r="AA143" s="43"/>
      <c r="AB143" s="272"/>
      <c r="AC143" s="43"/>
    </row>
    <row r="144" spans="2:29" x14ac:dyDescent="0.2">
      <c r="B144" s="43"/>
      <c r="D144" s="149" t="s">
        <v>43</v>
      </c>
      <c r="E144" s="77" t="s">
        <v>409</v>
      </c>
      <c r="F144" s="71" t="s">
        <v>235</v>
      </c>
      <c r="G144" s="81">
        <v>393.71</v>
      </c>
      <c r="H144" s="81">
        <v>1446.75</v>
      </c>
      <c r="I144" s="81">
        <v>2659.34</v>
      </c>
      <c r="J144" s="81">
        <v>351.15</v>
      </c>
      <c r="K144" s="81">
        <v>1078.99</v>
      </c>
      <c r="L144" s="81">
        <v>644.4</v>
      </c>
      <c r="M144" s="81">
        <v>456.4</v>
      </c>
      <c r="N144" s="81">
        <v>358.4</v>
      </c>
      <c r="O144" s="81">
        <v>1364.67</v>
      </c>
      <c r="P144" s="81">
        <v>903.64</v>
      </c>
      <c r="Q144" s="81">
        <v>52.02</v>
      </c>
      <c r="R144" s="81">
        <v>224.47</v>
      </c>
      <c r="S144" s="182" t="s">
        <v>945</v>
      </c>
      <c r="T144" s="10" t="str">
        <f>VLOOKUP(E144,'TB (H)'!$A$2:$B$279,2,0)</f>
        <v>TRAVEL EXPENSES  -  TRANSPORTATION  ( FLIGHTS, TRAIN…)</v>
      </c>
      <c r="AA144" s="43"/>
      <c r="AB144" s="272"/>
      <c r="AC144" s="43"/>
    </row>
    <row r="145" spans="2:29" x14ac:dyDescent="0.2">
      <c r="B145" s="43"/>
      <c r="D145" s="149" t="s">
        <v>43</v>
      </c>
      <c r="E145" s="77" t="s">
        <v>411</v>
      </c>
      <c r="F145" s="71" t="s">
        <v>237</v>
      </c>
      <c r="G145" s="81">
        <v>0</v>
      </c>
      <c r="H145" s="81">
        <v>0</v>
      </c>
      <c r="I145" s="81">
        <v>0</v>
      </c>
      <c r="J145" s="81">
        <v>0</v>
      </c>
      <c r="K145" s="81">
        <v>61.6</v>
      </c>
      <c r="L145" s="81">
        <v>0</v>
      </c>
      <c r="M145" s="81">
        <v>8.2799999999999994</v>
      </c>
      <c r="N145" s="81">
        <v>16.68</v>
      </c>
      <c r="O145" s="81">
        <v>83.68</v>
      </c>
      <c r="P145" s="81">
        <v>0</v>
      </c>
      <c r="Q145" s="81">
        <v>100.69</v>
      </c>
      <c r="R145" s="81">
        <v>31.44</v>
      </c>
      <c r="S145" s="182" t="s">
        <v>945</v>
      </c>
      <c r="T145" s="10" t="str">
        <f>VLOOKUP(E145,'TB (H)'!$A$2:$B$279,2,0)</f>
        <v>FUEL EXPENSES</v>
      </c>
      <c r="AA145" s="43"/>
      <c r="AB145" s="272"/>
      <c r="AC145" s="43"/>
    </row>
    <row r="146" spans="2:29" x14ac:dyDescent="0.2">
      <c r="B146" s="43"/>
      <c r="D146" s="149" t="s">
        <v>43</v>
      </c>
      <c r="E146" s="77" t="s">
        <v>412</v>
      </c>
      <c r="F146" s="71" t="s">
        <v>238</v>
      </c>
      <c r="G146" s="81">
        <v>0</v>
      </c>
      <c r="H146" s="81">
        <v>0</v>
      </c>
      <c r="I146" s="81">
        <v>7.17</v>
      </c>
      <c r="J146" s="81">
        <v>65.819999999999993</v>
      </c>
      <c r="K146" s="81">
        <v>17.989999999999998</v>
      </c>
      <c r="L146" s="81">
        <v>71.790000000000006</v>
      </c>
      <c r="M146" s="81">
        <v>4.6500000000000004</v>
      </c>
      <c r="N146" s="81">
        <v>6.69</v>
      </c>
      <c r="O146" s="81">
        <v>55</v>
      </c>
      <c r="P146" s="81">
        <v>5.46</v>
      </c>
      <c r="Q146" s="81">
        <v>0</v>
      </c>
      <c r="R146" s="81">
        <v>12.48</v>
      </c>
      <c r="S146" s="182" t="s">
        <v>945</v>
      </c>
      <c r="T146" s="10" t="str">
        <f>VLOOKUP(E146,'TB (H)'!$A$2:$B$279,2,0)</f>
        <v>TICKET HIGHWAY EXPENSES</v>
      </c>
      <c r="AA146" s="43"/>
      <c r="AB146" s="272"/>
      <c r="AC146" s="43"/>
    </row>
    <row r="147" spans="2:29" x14ac:dyDescent="0.2">
      <c r="B147" s="43"/>
      <c r="D147" s="149" t="s">
        <v>43</v>
      </c>
      <c r="E147" s="77" t="s">
        <v>413</v>
      </c>
      <c r="F147" s="71" t="s">
        <v>239</v>
      </c>
      <c r="G147" s="81">
        <v>406.48</v>
      </c>
      <c r="H147" s="81">
        <v>540.22</v>
      </c>
      <c r="I147" s="81">
        <v>782.32</v>
      </c>
      <c r="J147" s="81">
        <v>198.01</v>
      </c>
      <c r="K147" s="81">
        <v>1546.62</v>
      </c>
      <c r="L147" s="81">
        <v>242.7</v>
      </c>
      <c r="M147" s="81">
        <v>-2593.29</v>
      </c>
      <c r="N147" s="81">
        <v>525.6</v>
      </c>
      <c r="O147" s="81">
        <v>458.55</v>
      </c>
      <c r="P147" s="81">
        <v>300.14999999999998</v>
      </c>
      <c r="Q147" s="81">
        <v>574.20000000000005</v>
      </c>
      <c r="R147" s="81">
        <v>686.25</v>
      </c>
      <c r="S147" s="182" t="s">
        <v>945</v>
      </c>
      <c r="T147" s="10" t="str">
        <f>VLOOKUP(E147,'TB (H)'!$A$2:$B$279,2,0)</f>
        <v>MILEAGE REIMBOURSEMENT</v>
      </c>
      <c r="AA147" s="43"/>
      <c r="AB147" s="272"/>
      <c r="AC147" s="43"/>
    </row>
    <row r="148" spans="2:29" x14ac:dyDescent="0.2">
      <c r="B148" s="43"/>
      <c r="D148" s="149" t="s">
        <v>43</v>
      </c>
      <c r="E148" s="77" t="s">
        <v>414</v>
      </c>
      <c r="F148" s="71" t="s">
        <v>240</v>
      </c>
      <c r="G148" s="81">
        <v>1.3</v>
      </c>
      <c r="H148" s="81">
        <v>0</v>
      </c>
      <c r="I148" s="81">
        <v>0</v>
      </c>
      <c r="J148" s="81">
        <v>0</v>
      </c>
      <c r="K148" s="81">
        <v>0</v>
      </c>
      <c r="L148" s="81">
        <v>0</v>
      </c>
      <c r="M148" s="81">
        <v>0</v>
      </c>
      <c r="N148" s="81">
        <v>0</v>
      </c>
      <c r="O148" s="81">
        <v>0</v>
      </c>
      <c r="P148" s="81">
        <v>0</v>
      </c>
      <c r="Q148" s="81">
        <v>0</v>
      </c>
      <c r="R148" s="81">
        <v>0</v>
      </c>
      <c r="S148" s="182" t="s">
        <v>945</v>
      </c>
      <c r="T148" s="10" t="str">
        <f>VLOOKUP(E148,'TB (H)'!$A$2:$B$279,2,0)</f>
        <v>OTHER TRAVEL EXPENSES</v>
      </c>
      <c r="AA148" s="43"/>
      <c r="AB148" s="272"/>
      <c r="AC148" s="43"/>
    </row>
    <row r="149" spans="2:29" x14ac:dyDescent="0.2">
      <c r="B149" s="43"/>
      <c r="D149" s="149" t="s">
        <v>43</v>
      </c>
      <c r="E149" s="77" t="s">
        <v>416</v>
      </c>
      <c r="F149" s="71" t="s">
        <v>242</v>
      </c>
      <c r="G149" s="81">
        <v>33.979999999999997</v>
      </c>
      <c r="H149" s="81">
        <v>10.99</v>
      </c>
      <c r="I149" s="81">
        <v>49.85</v>
      </c>
      <c r="J149" s="81">
        <v>26.95</v>
      </c>
      <c r="K149" s="81">
        <v>204.51</v>
      </c>
      <c r="L149" s="81">
        <v>136.87</v>
      </c>
      <c r="M149" s="81">
        <v>62.35</v>
      </c>
      <c r="N149" s="81">
        <v>64.63</v>
      </c>
      <c r="O149" s="81">
        <v>102.61</v>
      </c>
      <c r="P149" s="81">
        <v>158.44999999999999</v>
      </c>
      <c r="Q149" s="81">
        <v>633.23</v>
      </c>
      <c r="R149" s="81">
        <v>236.8</v>
      </c>
      <c r="S149" s="182" t="s">
        <v>945</v>
      </c>
      <c r="T149" s="10" t="str">
        <f>VLOOKUP(E149,'TB (H)'!$A$2:$B$279,2,0)</f>
        <v>PURCHASING OF DRINK AND FOOD (STAFF AND ONSITE LUNCHES)</v>
      </c>
      <c r="AA149" s="43"/>
      <c r="AB149" s="272"/>
      <c r="AC149" s="43"/>
    </row>
    <row r="150" spans="2:29" x14ac:dyDescent="0.2">
      <c r="B150" s="43"/>
      <c r="D150" s="149" t="s">
        <v>43</v>
      </c>
      <c r="E150" s="77" t="s">
        <v>410</v>
      </c>
      <c r="F150" s="71" t="s">
        <v>236</v>
      </c>
      <c r="G150" s="81">
        <v>0</v>
      </c>
      <c r="H150" s="81">
        <v>0</v>
      </c>
      <c r="I150" s="81">
        <v>0</v>
      </c>
      <c r="J150" s="81">
        <v>0</v>
      </c>
      <c r="K150" s="81">
        <v>0</v>
      </c>
      <c r="L150" s="81">
        <v>0</v>
      </c>
      <c r="M150" s="81">
        <v>0</v>
      </c>
      <c r="N150" s="81">
        <v>0</v>
      </c>
      <c r="O150" s="81">
        <v>0</v>
      </c>
      <c r="P150" s="81">
        <v>0</v>
      </c>
      <c r="Q150" s="81">
        <v>0</v>
      </c>
      <c r="R150" s="81">
        <v>0</v>
      </c>
      <c r="S150" s="182" t="s">
        <v>945</v>
      </c>
      <c r="T150" s="10" t="str">
        <f>VLOOKUP(E150,'TB (H)'!$A$2:$B$279,2,0)</f>
        <v>SHORT TERM RENT CAR</v>
      </c>
      <c r="AA150" s="43"/>
      <c r="AB150" s="272"/>
      <c r="AC150" s="43"/>
    </row>
    <row r="151" spans="2:29" x14ac:dyDescent="0.2">
      <c r="B151" s="43"/>
      <c r="D151" s="149" t="s">
        <v>43</v>
      </c>
      <c r="E151" s="77" t="s">
        <v>429</v>
      </c>
      <c r="F151" s="71" t="s">
        <v>255</v>
      </c>
      <c r="G151" s="81">
        <v>0</v>
      </c>
      <c r="H151" s="81">
        <v>0</v>
      </c>
      <c r="I151" s="81">
        <v>0</v>
      </c>
      <c r="J151" s="81">
        <v>0</v>
      </c>
      <c r="K151" s="81">
        <v>0</v>
      </c>
      <c r="L151" s="81">
        <v>696.8</v>
      </c>
      <c r="M151" s="81">
        <v>0</v>
      </c>
      <c r="N151" s="81">
        <v>0</v>
      </c>
      <c r="O151" s="81">
        <v>0</v>
      </c>
      <c r="P151" s="81">
        <v>0</v>
      </c>
      <c r="Q151" s="81">
        <v>0</v>
      </c>
      <c r="R151" s="81">
        <v>702.35</v>
      </c>
      <c r="S151" s="182" t="s">
        <v>945</v>
      </c>
      <c r="T151" s="10" t="str">
        <f>VLOOKUP(E151,'TB (H)'!$A$2:$B$279,2,0)</f>
        <v>CAR EXPENSES</v>
      </c>
      <c r="AA151" s="43"/>
      <c r="AB151" s="272"/>
      <c r="AC151" s="43"/>
    </row>
    <row r="152" spans="2:29" x14ac:dyDescent="0.2">
      <c r="B152" s="43"/>
      <c r="D152" s="149" t="s">
        <v>43</v>
      </c>
      <c r="E152" s="77" t="s">
        <v>415</v>
      </c>
      <c r="F152" s="71" t="s">
        <v>241</v>
      </c>
      <c r="G152" s="81">
        <v>2075.83</v>
      </c>
      <c r="H152" s="81">
        <v>4803.99</v>
      </c>
      <c r="I152" s="81">
        <v>2435.0500000000002</v>
      </c>
      <c r="J152" s="81">
        <v>2557.83</v>
      </c>
      <c r="K152" s="81">
        <v>4910.82</v>
      </c>
      <c r="L152" s="81">
        <v>-492.59</v>
      </c>
      <c r="M152" s="81">
        <v>1465.83</v>
      </c>
      <c r="N152" s="81">
        <v>3790.83</v>
      </c>
      <c r="O152" s="81">
        <v>3975.14</v>
      </c>
      <c r="P152" s="81">
        <v>3557.33</v>
      </c>
      <c r="Q152" s="81">
        <v>667.66</v>
      </c>
      <c r="R152" s="81">
        <v>1934.17</v>
      </c>
      <c r="S152" s="182" t="s">
        <v>945</v>
      </c>
      <c r="T152" s="10" t="str">
        <f>VLOOKUP(E152,'TB (H)'!$A$2:$B$279,2,0)</f>
        <v>TRAINING, STAGES COURSE, MEETINGS…</v>
      </c>
      <c r="AA152" s="43"/>
      <c r="AB152" s="272"/>
      <c r="AC152" s="43"/>
    </row>
    <row r="153" spans="2:29" x14ac:dyDescent="0.2">
      <c r="B153" s="43"/>
      <c r="D153" s="149" t="s">
        <v>43</v>
      </c>
      <c r="E153" s="77" t="s">
        <v>432</v>
      </c>
      <c r="F153" s="71" t="s">
        <v>258</v>
      </c>
      <c r="G153" s="81">
        <v>12000.72</v>
      </c>
      <c r="H153" s="81">
        <v>12387.84</v>
      </c>
      <c r="I153" s="81">
        <v>11226.48</v>
      </c>
      <c r="J153" s="81">
        <v>12904</v>
      </c>
      <c r="K153" s="81">
        <v>14950.72</v>
      </c>
      <c r="L153" s="81">
        <v>12816.8</v>
      </c>
      <c r="M153" s="81">
        <v>12844</v>
      </c>
      <c r="N153" s="81">
        <v>13939.2</v>
      </c>
      <c r="O153" s="81">
        <v>12672</v>
      </c>
      <c r="P153" s="81">
        <v>12883.2</v>
      </c>
      <c r="Q153" s="81">
        <v>12689.6</v>
      </c>
      <c r="R153" s="81">
        <v>15463.2</v>
      </c>
      <c r="S153" s="182" t="s">
        <v>945</v>
      </c>
      <c r="T153" s="10" t="str">
        <f>VLOOKUP(E153,'TB (H)'!$A$2:$B$279,2,0)</f>
        <v>SURVEILLANCE SERVICES</v>
      </c>
      <c r="AA153" s="43"/>
      <c r="AB153" s="272"/>
      <c r="AC153" s="43"/>
    </row>
    <row r="154" spans="2:29" x14ac:dyDescent="0.2">
      <c r="B154" s="43"/>
      <c r="D154" s="149" t="s">
        <v>43</v>
      </c>
      <c r="E154" s="77" t="s">
        <v>418</v>
      </c>
      <c r="F154" s="71" t="s">
        <v>244</v>
      </c>
      <c r="G154" s="81">
        <v>5150</v>
      </c>
      <c r="H154" s="81">
        <v>6183.33</v>
      </c>
      <c r="I154" s="81">
        <v>6375</v>
      </c>
      <c r="J154" s="81">
        <v>2597.5</v>
      </c>
      <c r="K154" s="81">
        <v>1297.5</v>
      </c>
      <c r="L154" s="81">
        <v>222.08</v>
      </c>
      <c r="M154" s="81">
        <v>-1934.16</v>
      </c>
      <c r="N154" s="81">
        <v>1665.83</v>
      </c>
      <c r="O154" s="81">
        <v>3091.25</v>
      </c>
      <c r="P154" s="81">
        <v>-3972.92</v>
      </c>
      <c r="Q154" s="81">
        <v>0</v>
      </c>
      <c r="R154" s="81">
        <v>-905.95</v>
      </c>
      <c r="S154" s="182" t="s">
        <v>945</v>
      </c>
      <c r="T154" s="10" t="str">
        <f>VLOOKUP(E154,'TB (H)'!$A$2:$B$279,2,0)</f>
        <v>GENERAL CONSULTANCIES</v>
      </c>
      <c r="AA154" s="43"/>
      <c r="AB154" s="272"/>
      <c r="AC154" s="43"/>
    </row>
    <row r="155" spans="2:29" x14ac:dyDescent="0.2">
      <c r="B155" s="43"/>
      <c r="D155" s="149" t="s">
        <v>43</v>
      </c>
      <c r="E155" s="77" t="s">
        <v>483</v>
      </c>
      <c r="F155" s="71" t="s">
        <v>484</v>
      </c>
      <c r="G155" s="81">
        <v>27939.17</v>
      </c>
      <c r="H155" s="81">
        <v>32075.599999999999</v>
      </c>
      <c r="I155" s="81">
        <v>31887.9</v>
      </c>
      <c r="J155" s="81">
        <v>31949.96</v>
      </c>
      <c r="K155" s="81">
        <v>31895.29</v>
      </c>
      <c r="L155" s="81">
        <v>33079.5</v>
      </c>
      <c r="M155" s="81">
        <v>31447.360000000001</v>
      </c>
      <c r="N155" s="81">
        <v>31715.200000000001</v>
      </c>
      <c r="O155" s="81">
        <v>31317.05</v>
      </c>
      <c r="P155" s="81">
        <v>31152.06</v>
      </c>
      <c r="Q155" s="81">
        <v>31087.4</v>
      </c>
      <c r="R155" s="81">
        <v>40267.21</v>
      </c>
      <c r="S155" s="182" t="s">
        <v>945</v>
      </c>
      <c r="T155" s="10" t="str">
        <f>VLOOKUP(E155,'TB (H)'!$A$2:$B$279,2,0)</f>
        <v>SERVICES AND CONSULTANCY</v>
      </c>
      <c r="AA155" s="43"/>
      <c r="AB155" s="272"/>
      <c r="AC155" s="43"/>
    </row>
    <row r="156" spans="2:29" x14ac:dyDescent="0.2">
      <c r="B156" s="43"/>
      <c r="D156" s="149" t="s">
        <v>43</v>
      </c>
      <c r="E156" s="77" t="s">
        <v>421</v>
      </c>
      <c r="F156" s="71" t="s">
        <v>247</v>
      </c>
      <c r="G156" s="81">
        <v>6384.77</v>
      </c>
      <c r="H156" s="81">
        <v>27000</v>
      </c>
      <c r="I156" s="81">
        <v>790.69</v>
      </c>
      <c r="J156" s="81">
        <v>1251.48</v>
      </c>
      <c r="K156" s="81">
        <v>1301.08</v>
      </c>
      <c r="L156" s="81">
        <v>5986.57</v>
      </c>
      <c r="M156" s="81">
        <v>0</v>
      </c>
      <c r="N156" s="81">
        <v>0</v>
      </c>
      <c r="O156" s="81">
        <v>11611.15</v>
      </c>
      <c r="P156" s="81">
        <v>7204.46</v>
      </c>
      <c r="Q156" s="81">
        <v>13900</v>
      </c>
      <c r="R156" s="81">
        <v>31640.34</v>
      </c>
      <c r="S156" s="182" t="s">
        <v>945</v>
      </c>
      <c r="T156" s="10" t="str">
        <f>VLOOKUP(E156,'TB (H)'!$A$2:$B$279,2,0)</f>
        <v>TAX CONSULTANCIES</v>
      </c>
      <c r="AA156" s="43"/>
      <c r="AB156" s="272"/>
      <c r="AC156" s="43"/>
    </row>
    <row r="157" spans="2:29" x14ac:dyDescent="0.2">
      <c r="B157" s="43"/>
      <c r="D157" s="149" t="s">
        <v>43</v>
      </c>
      <c r="E157" s="77" t="s">
        <v>419</v>
      </c>
      <c r="F157" s="71" t="s">
        <v>245</v>
      </c>
      <c r="G157" s="81">
        <v>21971.14</v>
      </c>
      <c r="H157" s="81">
        <v>-14399</v>
      </c>
      <c r="I157" s="81">
        <v>120775.28</v>
      </c>
      <c r="J157" s="81">
        <v>7642.5</v>
      </c>
      <c r="K157" s="81">
        <v>13299.5</v>
      </c>
      <c r="L157" s="81">
        <v>26754.95</v>
      </c>
      <c r="M157" s="81">
        <v>14884.76</v>
      </c>
      <c r="N157" s="81">
        <v>3068.5</v>
      </c>
      <c r="O157" s="81">
        <v>0</v>
      </c>
      <c r="P157" s="81">
        <v>11790</v>
      </c>
      <c r="Q157" s="81">
        <v>0</v>
      </c>
      <c r="R157" s="81">
        <v>4936</v>
      </c>
      <c r="S157" s="182" t="s">
        <v>945</v>
      </c>
      <c r="T157" s="10" t="str">
        <f>VLOOKUP(E157,'TB (H)'!$A$2:$B$279,2,0)</f>
        <v>LEGAL AND NOTARY CONSULTANCIES</v>
      </c>
      <c r="AA157" s="43"/>
      <c r="AB157" s="272"/>
      <c r="AC157" s="43"/>
    </row>
    <row r="158" spans="2:29" x14ac:dyDescent="0.2">
      <c r="B158" s="43"/>
      <c r="D158" s="149" t="s">
        <v>43</v>
      </c>
      <c r="E158" s="77" t="s">
        <v>494</v>
      </c>
      <c r="F158" s="71" t="s">
        <v>495</v>
      </c>
      <c r="G158" s="81">
        <v>0</v>
      </c>
      <c r="H158" s="81">
        <v>0</v>
      </c>
      <c r="I158" s="81">
        <v>0</v>
      </c>
      <c r="J158" s="81">
        <v>0</v>
      </c>
      <c r="K158" s="81">
        <v>0</v>
      </c>
      <c r="L158" s="81">
        <v>0</v>
      </c>
      <c r="M158" s="81">
        <v>0</v>
      </c>
      <c r="N158" s="81">
        <v>0</v>
      </c>
      <c r="O158" s="81">
        <v>0</v>
      </c>
      <c r="P158" s="81">
        <v>0</v>
      </c>
      <c r="Q158" s="81">
        <v>0</v>
      </c>
      <c r="R158" s="81">
        <v>0</v>
      </c>
      <c r="S158" s="182" t="s">
        <v>945</v>
      </c>
      <c r="T158" s="10" t="str">
        <f>VLOOKUP(E158,'TB (H)'!$A$2:$B$279,2,0)</f>
        <v>MEDICAL CONSULTANCIES</v>
      </c>
      <c r="AA158" s="43"/>
      <c r="AB158" s="272"/>
      <c r="AC158" s="43"/>
    </row>
    <row r="159" spans="2:29" x14ac:dyDescent="0.2">
      <c r="B159" s="43"/>
      <c r="D159" s="149" t="s">
        <v>43</v>
      </c>
      <c r="E159" s="77" t="s">
        <v>390</v>
      </c>
      <c r="F159" s="71" t="s">
        <v>218</v>
      </c>
      <c r="G159" s="81">
        <v>2622.6</v>
      </c>
      <c r="H159" s="81">
        <v>2668.6</v>
      </c>
      <c r="I159" s="81">
        <v>2668.6</v>
      </c>
      <c r="J159" s="81">
        <v>5100.7</v>
      </c>
      <c r="K159" s="81">
        <v>3247.75</v>
      </c>
      <c r="L159" s="81">
        <v>3220</v>
      </c>
      <c r="M159" s="81">
        <v>3220</v>
      </c>
      <c r="N159" s="81">
        <v>3220.98</v>
      </c>
      <c r="O159" s="81">
        <v>3528.92</v>
      </c>
      <c r="P159" s="81">
        <v>3384.23</v>
      </c>
      <c r="Q159" s="81">
        <v>4011.9</v>
      </c>
      <c r="R159" s="81">
        <v>3265.56</v>
      </c>
      <c r="S159" s="182" t="s">
        <v>945</v>
      </c>
      <c r="T159" s="10" t="str">
        <f>VLOOKUP(E159,'TB (H)'!$A$2:$B$279,2,0)</f>
        <v>CLEANING SERVICES</v>
      </c>
      <c r="AA159" s="43"/>
      <c r="AB159" s="272"/>
      <c r="AC159" s="43"/>
    </row>
    <row r="160" spans="2:29" x14ac:dyDescent="0.2">
      <c r="B160" s="43"/>
      <c r="D160" s="149" t="s">
        <v>43</v>
      </c>
      <c r="E160" s="77" t="s">
        <v>444</v>
      </c>
      <c r="F160" s="71" t="s">
        <v>269</v>
      </c>
      <c r="G160" s="81">
        <v>16824.419999999998</v>
      </c>
      <c r="H160" s="81">
        <v>9979.75</v>
      </c>
      <c r="I160" s="81">
        <v>18618.7</v>
      </c>
      <c r="J160" s="81">
        <v>18618.7</v>
      </c>
      <c r="K160" s="81">
        <v>18618.7</v>
      </c>
      <c r="L160" s="81">
        <v>18618.7</v>
      </c>
      <c r="M160" s="81">
        <v>18618.7</v>
      </c>
      <c r="N160" s="81">
        <v>18668.580000000002</v>
      </c>
      <c r="O160" s="81">
        <v>18618.7</v>
      </c>
      <c r="P160" s="81">
        <v>18618.7</v>
      </c>
      <c r="Q160" s="81">
        <v>18618.7</v>
      </c>
      <c r="R160" s="81">
        <v>18618.7</v>
      </c>
      <c r="S160" s="182" t="s">
        <v>945</v>
      </c>
      <c r="T160" s="10" t="str">
        <f>VLOOKUP(E160,'TB (H)'!$A$2:$B$279,2,0)</f>
        <v>OTHER PROVISION FOR RISKS</v>
      </c>
      <c r="AA160" s="43"/>
      <c r="AB160" s="272"/>
      <c r="AC160" s="43"/>
    </row>
    <row r="161" spans="2:29" x14ac:dyDescent="0.2">
      <c r="B161" s="43"/>
      <c r="D161" s="149" t="s">
        <v>43</v>
      </c>
      <c r="E161" s="77" t="s">
        <v>464</v>
      </c>
      <c r="F161" s="71" t="s">
        <v>493</v>
      </c>
      <c r="G161" s="81">
        <v>6562.31</v>
      </c>
      <c r="H161" s="81">
        <v>8817.83</v>
      </c>
      <c r="I161" s="81">
        <v>9575.4500000000007</v>
      </c>
      <c r="J161" s="81">
        <v>9575.44</v>
      </c>
      <c r="K161" s="81">
        <v>9739.67</v>
      </c>
      <c r="L161" s="81">
        <v>9419.32</v>
      </c>
      <c r="M161" s="81">
        <v>10675.62</v>
      </c>
      <c r="N161" s="81">
        <v>10256.870000000001</v>
      </c>
      <c r="O161" s="81">
        <v>9624.67</v>
      </c>
      <c r="P161" s="81">
        <v>9084.7199999999993</v>
      </c>
      <c r="Q161" s="81">
        <v>8499.67</v>
      </c>
      <c r="R161" s="81">
        <v>15201.73</v>
      </c>
      <c r="S161" s="182" t="s">
        <v>945</v>
      </c>
      <c r="T161" s="10" t="str">
        <f>VLOOKUP(E161,'TB (H)'!$A$2:$B$279,2,0)</f>
        <v>INSURANCES EMPLOYEES</v>
      </c>
      <c r="AA161" s="43"/>
      <c r="AB161" s="272"/>
      <c r="AC161" s="43"/>
    </row>
    <row r="162" spans="2:29" x14ac:dyDescent="0.2">
      <c r="B162" s="43"/>
      <c r="D162" s="149" t="s">
        <v>43</v>
      </c>
      <c r="E162" s="77" t="s">
        <v>423</v>
      </c>
      <c r="F162" s="71" t="s">
        <v>249</v>
      </c>
      <c r="G162" s="81">
        <v>0</v>
      </c>
      <c r="H162" s="81">
        <v>0</v>
      </c>
      <c r="I162" s="81">
        <v>0</v>
      </c>
      <c r="J162" s="81">
        <v>0</v>
      </c>
      <c r="K162" s="81">
        <v>0</v>
      </c>
      <c r="L162" s="81">
        <v>0</v>
      </c>
      <c r="M162" s="81">
        <v>0</v>
      </c>
      <c r="N162" s="81">
        <v>0</v>
      </c>
      <c r="O162" s="81">
        <v>0</v>
      </c>
      <c r="P162" s="81">
        <v>0</v>
      </c>
      <c r="Q162" s="81">
        <v>0</v>
      </c>
      <c r="R162" s="81">
        <v>0</v>
      </c>
      <c r="S162" s="182" t="s">
        <v>945</v>
      </c>
      <c r="T162" s="10" t="str">
        <f>VLOOKUP(E162,'TB (H)'!$A$2:$B$279,2,0)</f>
        <v>TEMPORARY CONSULTANCIES ( SERVICES )</v>
      </c>
      <c r="AA162" s="43"/>
      <c r="AB162" s="272"/>
      <c r="AC162" s="43"/>
    </row>
    <row r="163" spans="2:29" x14ac:dyDescent="0.2">
      <c r="B163" s="43"/>
      <c r="D163" s="149" t="s">
        <v>43</v>
      </c>
      <c r="E163" s="77" t="s">
        <v>424</v>
      </c>
      <c r="F163" s="71" t="s">
        <v>250</v>
      </c>
      <c r="G163" s="81">
        <v>24</v>
      </c>
      <c r="H163" s="81">
        <v>3721.92</v>
      </c>
      <c r="I163" s="81">
        <v>326.77</v>
      </c>
      <c r="J163" s="81">
        <v>0</v>
      </c>
      <c r="K163" s="81">
        <v>119.17</v>
      </c>
      <c r="L163" s="81">
        <v>230.28</v>
      </c>
      <c r="M163" s="81">
        <v>100.58</v>
      </c>
      <c r="N163" s="81">
        <v>330.86</v>
      </c>
      <c r="O163" s="81">
        <v>439.7</v>
      </c>
      <c r="P163" s="81">
        <v>6300</v>
      </c>
      <c r="Q163" s="81">
        <v>5500</v>
      </c>
      <c r="R163" s="81">
        <v>0</v>
      </c>
      <c r="S163" s="182" t="s">
        <v>945</v>
      </c>
      <c r="T163" s="10" t="str">
        <f>VLOOKUP(E163,'TB (H)'!$A$2:$B$279,2,0)</f>
        <v>PERSONNEL RESEARCH CONSULTANCIES</v>
      </c>
      <c r="AA163" s="43"/>
      <c r="AB163" s="272"/>
      <c r="AC163" s="43"/>
    </row>
    <row r="164" spans="2:29" x14ac:dyDescent="0.2">
      <c r="B164" s="43"/>
      <c r="D164" s="149" t="s">
        <v>43</v>
      </c>
      <c r="E164" s="77" t="s">
        <v>436</v>
      </c>
      <c r="F164" s="71" t="s">
        <v>262</v>
      </c>
      <c r="G164" s="81">
        <v>91.31</v>
      </c>
      <c r="H164" s="81">
        <v>-1414.66</v>
      </c>
      <c r="I164" s="81">
        <v>2738.93</v>
      </c>
      <c r="J164" s="81">
        <v>625.70000000000005</v>
      </c>
      <c r="K164" s="81">
        <v>625.70000000000005</v>
      </c>
      <c r="L164" s="81">
        <v>0</v>
      </c>
      <c r="M164" s="81">
        <v>0</v>
      </c>
      <c r="N164" s="81">
        <v>0</v>
      </c>
      <c r="O164" s="81">
        <v>0</v>
      </c>
      <c r="P164" s="81">
        <v>0</v>
      </c>
      <c r="Q164" s="81">
        <v>0</v>
      </c>
      <c r="R164" s="81">
        <v>0</v>
      </c>
      <c r="S164" s="182" t="s">
        <v>945</v>
      </c>
      <c r="T164" s="10" t="str">
        <f>VLOOKUP(E164,'TB (H)'!$A$2:$B$279,2,0)</f>
        <v>CARS</v>
      </c>
      <c r="AA164" s="43"/>
      <c r="AB164" s="272"/>
      <c r="AC164" s="43"/>
    </row>
    <row r="165" spans="2:29" x14ac:dyDescent="0.2">
      <c r="B165" s="43"/>
      <c r="D165" s="149" t="s">
        <v>43</v>
      </c>
      <c r="E165" s="77" t="s">
        <v>736</v>
      </c>
      <c r="F165" s="71" t="s">
        <v>737</v>
      </c>
      <c r="G165" s="81">
        <v>105</v>
      </c>
      <c r="H165" s="81">
        <v>5.49</v>
      </c>
      <c r="I165" s="81">
        <v>49.13</v>
      </c>
      <c r="J165" s="81">
        <v>821.37</v>
      </c>
      <c r="K165" s="81">
        <v>0</v>
      </c>
      <c r="L165" s="81">
        <v>0.61</v>
      </c>
      <c r="M165" s="81">
        <v>27.01</v>
      </c>
      <c r="N165" s="81">
        <v>118.31</v>
      </c>
      <c r="O165" s="81">
        <v>15</v>
      </c>
      <c r="P165" s="81">
        <v>14.85</v>
      </c>
      <c r="Q165" s="81">
        <v>0</v>
      </c>
      <c r="R165" s="81">
        <v>0.71</v>
      </c>
      <c r="S165" s="182" t="s">
        <v>945</v>
      </c>
      <c r="T165" s="10" t="str">
        <f>VLOOKUP(E165,'TB (H)'!$A$2:$B$279,2,0)</f>
        <v>POSTAGE</v>
      </c>
      <c r="AA165" s="43"/>
      <c r="AB165" s="272"/>
      <c r="AC165" s="43"/>
    </row>
    <row r="166" spans="2:29" x14ac:dyDescent="0.2">
      <c r="B166" s="43"/>
      <c r="D166" s="149" t="s">
        <v>43</v>
      </c>
      <c r="E166" s="77" t="s">
        <v>704</v>
      </c>
      <c r="F166" s="71" t="s">
        <v>705</v>
      </c>
      <c r="G166" s="81">
        <v>200.01</v>
      </c>
      <c r="H166" s="81">
        <v>207.19</v>
      </c>
      <c r="I166" s="81">
        <v>533.36</v>
      </c>
      <c r="J166" s="81">
        <v>0</v>
      </c>
      <c r="K166" s="81">
        <v>840.99</v>
      </c>
      <c r="L166" s="81">
        <v>207.19</v>
      </c>
      <c r="M166" s="81">
        <v>5600.03</v>
      </c>
      <c r="N166" s="81">
        <v>-4192.78</v>
      </c>
      <c r="O166" s="81">
        <v>0</v>
      </c>
      <c r="P166" s="81">
        <v>266.68</v>
      </c>
      <c r="Q166" s="81">
        <v>600.03</v>
      </c>
      <c r="R166" s="81">
        <v>0</v>
      </c>
      <c r="S166" s="182" t="s">
        <v>945</v>
      </c>
      <c r="T166" s="10" t="str">
        <f>VLOOKUP(E166,'TB (H)'!$A$2:$B$279,2,0)</f>
        <v>OFFICE RENTALS</v>
      </c>
      <c r="AA166" s="43"/>
      <c r="AB166" s="272"/>
      <c r="AC166" s="43"/>
    </row>
    <row r="167" spans="2:29" x14ac:dyDescent="0.2">
      <c r="B167" s="43"/>
      <c r="D167" s="149" t="s">
        <v>43</v>
      </c>
      <c r="E167" s="77" t="s">
        <v>435</v>
      </c>
      <c r="F167" s="71" t="s">
        <v>261</v>
      </c>
      <c r="G167" s="81">
        <v>9170.07</v>
      </c>
      <c r="H167" s="81">
        <v>9900.24</v>
      </c>
      <c r="I167" s="81">
        <v>448</v>
      </c>
      <c r="J167" s="81">
        <v>11303.07</v>
      </c>
      <c r="K167" s="81">
        <v>8534</v>
      </c>
      <c r="L167" s="81">
        <v>4377.8</v>
      </c>
      <c r="M167" s="81">
        <v>31706.99</v>
      </c>
      <c r="N167" s="81">
        <v>11394.33</v>
      </c>
      <c r="O167" s="81">
        <v>11346</v>
      </c>
      <c r="P167" s="81">
        <v>15585.75</v>
      </c>
      <c r="Q167" s="81">
        <v>8862</v>
      </c>
      <c r="R167" s="81">
        <v>1162.98</v>
      </c>
      <c r="S167" s="182" t="s">
        <v>945</v>
      </c>
      <c r="T167" s="10" t="str">
        <f>VLOOKUP(E167,'TB (H)'!$A$2:$B$279,2,0)</f>
        <v>OTHER RENTS</v>
      </c>
      <c r="AA167" s="43"/>
      <c r="AB167" s="272"/>
      <c r="AC167" s="43"/>
    </row>
    <row r="168" spans="2:29" x14ac:dyDescent="0.2">
      <c r="B168" s="43"/>
      <c r="D168" s="149" t="s">
        <v>43</v>
      </c>
      <c r="E168" s="77" t="s">
        <v>907</v>
      </c>
      <c r="F168" s="71" t="s">
        <v>908</v>
      </c>
      <c r="G168" s="81">
        <v>0</v>
      </c>
      <c r="H168" s="81">
        <v>2576.12</v>
      </c>
      <c r="I168" s="81">
        <v>0</v>
      </c>
      <c r="J168" s="81">
        <v>0</v>
      </c>
      <c r="K168" s="81">
        <v>0</v>
      </c>
      <c r="L168" s="81">
        <v>0</v>
      </c>
      <c r="M168" s="81">
        <v>0</v>
      </c>
      <c r="N168" s="81">
        <v>0</v>
      </c>
      <c r="O168" s="81">
        <v>0</v>
      </c>
      <c r="P168" s="81">
        <v>0</v>
      </c>
      <c r="Q168" s="81">
        <v>0</v>
      </c>
      <c r="R168" s="81">
        <v>0</v>
      </c>
      <c r="S168" s="182" t="s">
        <v>945</v>
      </c>
      <c r="T168" s="10" t="str">
        <f>VLOOKUP(E168,'TB (H)'!$A$2:$B$279,2,0)</f>
        <v>ADMINISTRATIVE PENALTIES</v>
      </c>
      <c r="AA168" s="43"/>
      <c r="AB168" s="272"/>
      <c r="AC168" s="43"/>
    </row>
    <row r="169" spans="2:29" x14ac:dyDescent="0.2">
      <c r="B169" s="43"/>
      <c r="D169" s="149" t="s">
        <v>43</v>
      </c>
      <c r="E169" s="77" t="s">
        <v>426</v>
      </c>
      <c r="F169" s="71" t="s">
        <v>252</v>
      </c>
      <c r="G169" s="81">
        <v>0</v>
      </c>
      <c r="H169" s="81">
        <v>202.8</v>
      </c>
      <c r="I169" s="81">
        <v>0</v>
      </c>
      <c r="J169" s="81">
        <v>0</v>
      </c>
      <c r="K169" s="81">
        <v>0</v>
      </c>
      <c r="L169" s="81">
        <v>0</v>
      </c>
      <c r="M169" s="81">
        <v>0</v>
      </c>
      <c r="N169" s="81">
        <v>0</v>
      </c>
      <c r="O169" s="81">
        <v>0</v>
      </c>
      <c r="P169" s="81">
        <v>429.91</v>
      </c>
      <c r="Q169" s="81">
        <v>4915</v>
      </c>
      <c r="R169" s="81">
        <v>-13451.33</v>
      </c>
      <c r="S169" s="182" t="s">
        <v>945</v>
      </c>
      <c r="T169" s="10" t="str">
        <f>VLOOKUP(E169,'TB (H)'!$A$2:$B$279,2,0)</f>
        <v>ADVERTISEMENTS, PRESS RELEASE AND SIMILAR</v>
      </c>
      <c r="AA169" s="43"/>
      <c r="AB169" s="272"/>
      <c r="AC169" s="43"/>
    </row>
    <row r="170" spans="2:29" x14ac:dyDescent="0.2">
      <c r="B170" s="43"/>
      <c r="D170" s="149" t="s">
        <v>43</v>
      </c>
      <c r="E170" s="77" t="s">
        <v>446</v>
      </c>
      <c r="F170" s="71" t="s">
        <v>271</v>
      </c>
      <c r="G170" s="81">
        <v>2659.41</v>
      </c>
      <c r="H170" s="81">
        <v>-907.89</v>
      </c>
      <c r="I170" s="81">
        <v>2593.2399999999998</v>
      </c>
      <c r="J170" s="81">
        <v>2419.2399999999998</v>
      </c>
      <c r="K170" s="81">
        <v>2419.2399999999998</v>
      </c>
      <c r="L170" s="81">
        <v>2419.2399999999998</v>
      </c>
      <c r="M170" s="81">
        <v>2436.65</v>
      </c>
      <c r="N170" s="81">
        <v>2436.65</v>
      </c>
      <c r="O170" s="81">
        <v>-10016.280000000001</v>
      </c>
      <c r="P170" s="81">
        <v>657.66</v>
      </c>
      <c r="Q170" s="81">
        <v>657.66</v>
      </c>
      <c r="R170" s="81">
        <v>657.66</v>
      </c>
      <c r="S170" s="182" t="s">
        <v>945</v>
      </c>
      <c r="T170" s="10" t="str">
        <f>VLOOKUP(E170,'TB (H)'!$A$2:$B$279,2,0)</f>
        <v>BOOK, MAGAZINES..</v>
      </c>
      <c r="AA170" s="43"/>
      <c r="AB170" s="272"/>
      <c r="AC170" s="43"/>
    </row>
    <row r="171" spans="2:29" x14ac:dyDescent="0.2">
      <c r="B171" s="43"/>
      <c r="D171" s="149" t="s">
        <v>43</v>
      </c>
      <c r="E171" s="77" t="s">
        <v>420</v>
      </c>
      <c r="F171" s="71" t="s">
        <v>246</v>
      </c>
      <c r="G171" s="81">
        <v>4666.67</v>
      </c>
      <c r="H171" s="81">
        <v>4666.67</v>
      </c>
      <c r="I171" s="81">
        <v>4666.67</v>
      </c>
      <c r="J171" s="81">
        <v>4666.67</v>
      </c>
      <c r="K171" s="81">
        <v>8716.67</v>
      </c>
      <c r="L171" s="81">
        <v>16666.669999999998</v>
      </c>
      <c r="M171" s="81">
        <v>4666.67</v>
      </c>
      <c r="N171" s="81">
        <v>10666.67</v>
      </c>
      <c r="O171" s="81">
        <v>4666.67</v>
      </c>
      <c r="P171" s="81">
        <v>7456.67</v>
      </c>
      <c r="Q171" s="81">
        <v>4666.67</v>
      </c>
      <c r="R171" s="81">
        <v>4666.67</v>
      </c>
      <c r="S171" s="182" t="s">
        <v>945</v>
      </c>
      <c r="T171" s="10" t="str">
        <f>VLOOKUP(E171,'TB (H)'!$A$2:$B$279,2,0)</f>
        <v>AUDIT SERVICES</v>
      </c>
      <c r="AA171" s="43"/>
      <c r="AB171" s="272"/>
      <c r="AC171" s="43"/>
    </row>
    <row r="172" spans="2:29" x14ac:dyDescent="0.2">
      <c r="B172" s="43"/>
      <c r="D172" s="149" t="s">
        <v>43</v>
      </c>
      <c r="E172" s="77" t="s">
        <v>449</v>
      </c>
      <c r="F172" s="71" t="s">
        <v>274</v>
      </c>
      <c r="G172" s="81">
        <v>6485.33</v>
      </c>
      <c r="H172" s="81">
        <v>6485.33</v>
      </c>
      <c r="I172" s="81">
        <v>6485.33</v>
      </c>
      <c r="J172" s="81">
        <v>6916</v>
      </c>
      <c r="K172" s="81">
        <v>6916</v>
      </c>
      <c r="L172" s="81">
        <v>6916</v>
      </c>
      <c r="M172" s="81">
        <v>6916</v>
      </c>
      <c r="N172" s="81">
        <v>6916</v>
      </c>
      <c r="O172" s="81">
        <v>6916</v>
      </c>
      <c r="P172" s="81">
        <v>6916</v>
      </c>
      <c r="Q172" s="81">
        <v>6916</v>
      </c>
      <c r="R172" s="81">
        <v>6916</v>
      </c>
      <c r="S172" s="182" t="s">
        <v>945</v>
      </c>
      <c r="T172" s="10" t="str">
        <f>VLOOKUP(E172,'TB (H)'!$A$2:$B$279,2,0)</f>
        <v>LOCAL PROPERTY TAX</v>
      </c>
      <c r="AA172" s="43"/>
      <c r="AB172" s="272"/>
      <c r="AC172" s="43"/>
    </row>
    <row r="173" spans="2:29" x14ac:dyDescent="0.2">
      <c r="B173" s="43"/>
      <c r="D173" s="149" t="s">
        <v>43</v>
      </c>
      <c r="E173" s="77" t="s">
        <v>496</v>
      </c>
      <c r="F173" s="71" t="s">
        <v>497</v>
      </c>
      <c r="G173" s="81">
        <v>234.2</v>
      </c>
      <c r="H173" s="81">
        <v>276.39999999999998</v>
      </c>
      <c r="I173" s="81">
        <v>802.66</v>
      </c>
      <c r="J173" s="81">
        <v>575.19000000000005</v>
      </c>
      <c r="K173" s="81">
        <v>585.39</v>
      </c>
      <c r="L173" s="81">
        <v>869.48</v>
      </c>
      <c r="M173" s="81">
        <v>570.14</v>
      </c>
      <c r="N173" s="81">
        <v>415.12</v>
      </c>
      <c r="O173" s="81">
        <v>609.73</v>
      </c>
      <c r="P173" s="81">
        <v>650.59</v>
      </c>
      <c r="Q173" s="81">
        <v>6526.14</v>
      </c>
      <c r="R173" s="81">
        <v>8942.69</v>
      </c>
      <c r="S173" s="182" t="s">
        <v>945</v>
      </c>
      <c r="T173" s="10" t="str">
        <f>VLOOKUP(E173,'TB (H)'!$A$2:$B$279,2,0)</f>
        <v>FREE SUPPLIES</v>
      </c>
      <c r="AA173" s="43"/>
      <c r="AB173" s="272"/>
      <c r="AC173" s="43"/>
    </row>
    <row r="174" spans="2:29" x14ac:dyDescent="0.2">
      <c r="B174" s="43"/>
      <c r="D174" s="149" t="s">
        <v>43</v>
      </c>
      <c r="E174" s="77" t="s">
        <v>433</v>
      </c>
      <c r="F174" s="71" t="s">
        <v>259</v>
      </c>
      <c r="G174" s="81">
        <v>390.78</v>
      </c>
      <c r="H174" s="81">
        <v>299.64999999999998</v>
      </c>
      <c r="I174" s="81">
        <v>2593.8200000000002</v>
      </c>
      <c r="J174" s="81">
        <v>1822.24</v>
      </c>
      <c r="K174" s="81">
        <v>611.32000000000005</v>
      </c>
      <c r="L174" s="81">
        <v>1498.98</v>
      </c>
      <c r="M174" s="81">
        <v>1039.98</v>
      </c>
      <c r="N174" s="81">
        <v>2801.65</v>
      </c>
      <c r="O174" s="81">
        <v>2757.17</v>
      </c>
      <c r="P174" s="81">
        <v>1544.48</v>
      </c>
      <c r="Q174" s="81">
        <v>1027.72</v>
      </c>
      <c r="R174" s="81">
        <v>1133.9000000000001</v>
      </c>
      <c r="S174" s="182" t="s">
        <v>945</v>
      </c>
      <c r="T174" s="10" t="str">
        <f>VLOOKUP(E174,'TB (H)'!$A$2:$B$279,2,0)</f>
        <v>OTHERS</v>
      </c>
      <c r="AA174" s="43"/>
      <c r="AB174" s="272"/>
      <c r="AC174" s="43"/>
    </row>
    <row r="175" spans="2:29" x14ac:dyDescent="0.2">
      <c r="B175" s="43"/>
      <c r="D175" s="149" t="s">
        <v>43</v>
      </c>
      <c r="E175" s="77" t="s">
        <v>447</v>
      </c>
      <c r="F175" s="71" t="s">
        <v>272</v>
      </c>
      <c r="G175" s="81">
        <v>0</v>
      </c>
      <c r="H175" s="81">
        <v>3557.98</v>
      </c>
      <c r="I175" s="81">
        <v>0</v>
      </c>
      <c r="J175" s="81">
        <v>139</v>
      </c>
      <c r="K175" s="81">
        <v>94.24</v>
      </c>
      <c r="L175" s="81">
        <v>757.94</v>
      </c>
      <c r="M175" s="81">
        <v>0</v>
      </c>
      <c r="N175" s="81">
        <v>0</v>
      </c>
      <c r="O175" s="81">
        <v>12452.93</v>
      </c>
      <c r="P175" s="81">
        <v>1778.99</v>
      </c>
      <c r="Q175" s="81">
        <v>1778.99</v>
      </c>
      <c r="R175" s="81">
        <v>2143.9899999999998</v>
      </c>
      <c r="S175" s="182" t="s">
        <v>945</v>
      </c>
      <c r="T175" s="10" t="str">
        <f>VLOOKUP(E175,'TB (H)'!$A$2:$B$279,2,0)</f>
        <v>CONTRIBUTIONS FOR ASSOCIATIONS (CREDIT CARD, INDUSTRIAL ASSOCIATIONS, TELEPASS…)</v>
      </c>
      <c r="AA175" s="43"/>
      <c r="AB175" s="272"/>
      <c r="AC175" s="43"/>
    </row>
    <row r="176" spans="2:29" x14ac:dyDescent="0.2">
      <c r="B176" s="43"/>
      <c r="D176" s="149"/>
      <c r="E176" s="77"/>
      <c r="F176" s="71"/>
      <c r="G176" s="81">
        <v>0</v>
      </c>
      <c r="H176" s="81">
        <v>0</v>
      </c>
      <c r="I176" s="81">
        <v>0</v>
      </c>
      <c r="J176" s="81">
        <v>0</v>
      </c>
      <c r="K176" s="81">
        <v>0</v>
      </c>
      <c r="L176" s="81">
        <v>0</v>
      </c>
      <c r="M176" s="81">
        <v>0</v>
      </c>
      <c r="N176" s="81">
        <v>0</v>
      </c>
      <c r="O176" s="81">
        <v>0</v>
      </c>
      <c r="P176" s="81">
        <v>0</v>
      </c>
      <c r="Q176" s="81">
        <v>0</v>
      </c>
      <c r="R176" s="81">
        <v>0</v>
      </c>
      <c r="S176" s="182"/>
      <c r="AA176" s="43"/>
      <c r="AB176" s="272"/>
      <c r="AC176" s="43"/>
    </row>
    <row r="177" spans="2:29" x14ac:dyDescent="0.2">
      <c r="B177" s="43"/>
      <c r="D177" s="149" t="s">
        <v>33</v>
      </c>
      <c r="E177" s="77" t="s">
        <v>440</v>
      </c>
      <c r="F177" s="71" t="s">
        <v>266</v>
      </c>
      <c r="G177" s="81">
        <v>159.06</v>
      </c>
      <c r="H177" s="81">
        <v>159.06</v>
      </c>
      <c r="I177" s="81">
        <v>159.06</v>
      </c>
      <c r="J177" s="81">
        <v>159.06</v>
      </c>
      <c r="K177" s="81">
        <v>159.07</v>
      </c>
      <c r="L177" s="81">
        <v>159.06</v>
      </c>
      <c r="M177" s="81">
        <v>159.07</v>
      </c>
      <c r="N177" s="81">
        <v>159.06</v>
      </c>
      <c r="O177" s="81">
        <v>159.07</v>
      </c>
      <c r="P177" s="81">
        <v>159.06</v>
      </c>
      <c r="Q177" s="81">
        <v>159.07</v>
      </c>
      <c r="R177" s="81">
        <v>159.06</v>
      </c>
      <c r="S177" s="182" t="s">
        <v>939</v>
      </c>
      <c r="T177" s="10" t="str">
        <f>VLOOKUP(E177,'TB (H)'!$A$2:$B$279,2,0)</f>
        <v>DEPRECIATION OF OTHER INTANGIBLE ASSETS</v>
      </c>
      <c r="AA177" s="43"/>
      <c r="AB177" s="272"/>
      <c r="AC177" s="43"/>
    </row>
    <row r="178" spans="2:29" x14ac:dyDescent="0.2">
      <c r="B178" s="43"/>
      <c r="D178" s="149" t="s">
        <v>33</v>
      </c>
      <c r="E178" s="77" t="s">
        <v>442</v>
      </c>
      <c r="F178" s="71" t="s">
        <v>268</v>
      </c>
      <c r="G178" s="81">
        <v>103943.7</v>
      </c>
      <c r="H178" s="81">
        <v>103681.02</v>
      </c>
      <c r="I178" s="81">
        <v>104064.59</v>
      </c>
      <c r="J178" s="81">
        <v>104063.09</v>
      </c>
      <c r="K178" s="81">
        <v>104354.32</v>
      </c>
      <c r="L178" s="81">
        <v>104352.78</v>
      </c>
      <c r="M178" s="81">
        <v>104354.35</v>
      </c>
      <c r="N178" s="81">
        <v>104710.74</v>
      </c>
      <c r="O178" s="81">
        <v>104712.4</v>
      </c>
      <c r="P178" s="81">
        <v>104710.74</v>
      </c>
      <c r="Q178" s="81">
        <v>104413</v>
      </c>
      <c r="R178" s="81">
        <v>104071.53</v>
      </c>
      <c r="S178" s="182" t="s">
        <v>939</v>
      </c>
      <c r="T178" s="10" t="str">
        <f>VLOOKUP(E178,'TB (H)'!$A$2:$B$279,2,0)</f>
        <v>DEPRECIATION ON GENERIC AND SPECIFIC PLANTS</v>
      </c>
      <c r="AA178" s="43"/>
      <c r="AB178" s="272"/>
      <c r="AC178" s="43"/>
    </row>
    <row r="179" spans="2:29" x14ac:dyDescent="0.2">
      <c r="B179" s="43"/>
      <c r="D179" s="149" t="s">
        <v>33</v>
      </c>
      <c r="E179" s="77" t="s">
        <v>441</v>
      </c>
      <c r="F179" s="71" t="s">
        <v>267</v>
      </c>
      <c r="G179" s="81">
        <v>0</v>
      </c>
      <c r="H179" s="81">
        <v>0</v>
      </c>
      <c r="I179" s="81">
        <v>0</v>
      </c>
      <c r="J179" s="81">
        <v>0</v>
      </c>
      <c r="K179" s="81">
        <v>0</v>
      </c>
      <c r="L179" s="81">
        <v>0</v>
      </c>
      <c r="M179" s="81">
        <v>0</v>
      </c>
      <c r="N179" s="81">
        <v>0</v>
      </c>
      <c r="O179" s="81">
        <v>0</v>
      </c>
      <c r="P179" s="81">
        <v>0</v>
      </c>
      <c r="Q179" s="81">
        <v>0</v>
      </c>
      <c r="R179" s="81">
        <v>0</v>
      </c>
      <c r="S179" s="182" t="s">
        <v>939</v>
      </c>
      <c r="T179" s="10" t="str">
        <f>VLOOKUP(E179,'TB (H)'!$A$2:$B$279,2,0)</f>
        <v>DEPRECIATION ON INDUSTRIAL BUILDINGS</v>
      </c>
      <c r="AA179" s="43"/>
      <c r="AB179" s="272"/>
      <c r="AC179" s="43"/>
    </row>
    <row r="180" spans="2:29" x14ac:dyDescent="0.2">
      <c r="B180" s="43"/>
      <c r="D180" s="149" t="s">
        <v>33</v>
      </c>
      <c r="E180" s="77" t="s">
        <v>767</v>
      </c>
      <c r="F180" s="71" t="s">
        <v>768</v>
      </c>
      <c r="G180" s="81">
        <v>1229.29</v>
      </c>
      <c r="H180" s="81">
        <v>1229.3</v>
      </c>
      <c r="I180" s="81">
        <v>1229.29</v>
      </c>
      <c r="J180" s="81">
        <v>1229.3</v>
      </c>
      <c r="K180" s="81">
        <v>1229.3</v>
      </c>
      <c r="L180" s="81">
        <v>1229.3</v>
      </c>
      <c r="M180" s="81">
        <v>1229.3</v>
      </c>
      <c r="N180" s="81">
        <v>1229.3</v>
      </c>
      <c r="O180" s="81">
        <v>1229.3</v>
      </c>
      <c r="P180" s="81">
        <v>1229.3</v>
      </c>
      <c r="Q180" s="81">
        <v>1229.3</v>
      </c>
      <c r="R180" s="81">
        <v>1229.3</v>
      </c>
      <c r="S180" s="182" t="s">
        <v>939</v>
      </c>
      <c r="T180" s="10" t="str">
        <f>VLOOKUP(E180,'TB (H)'!$A$2:$B$279,2,0)</f>
        <v>DEPRECIATION ON ASSETS LESS 1M WORTH</v>
      </c>
      <c r="AA180" s="43"/>
      <c r="AB180" s="272"/>
      <c r="AC180" s="43"/>
    </row>
    <row r="181" spans="2:29" x14ac:dyDescent="0.2">
      <c r="B181" s="43"/>
      <c r="D181" s="149" t="s">
        <v>169</v>
      </c>
      <c r="E181" s="303" t="s">
        <v>443</v>
      </c>
      <c r="F181" s="71" t="s">
        <v>715</v>
      </c>
      <c r="G181" s="81">
        <v>0</v>
      </c>
      <c r="H181" s="81">
        <v>0</v>
      </c>
      <c r="I181" s="81">
        <v>0</v>
      </c>
      <c r="J181" s="81">
        <v>0</v>
      </c>
      <c r="K181" s="81">
        <v>0</v>
      </c>
      <c r="L181" s="81">
        <v>0</v>
      </c>
      <c r="M181" s="81">
        <v>0</v>
      </c>
      <c r="N181" s="81">
        <v>0</v>
      </c>
      <c r="O181" s="81">
        <v>0</v>
      </c>
      <c r="P181" s="81">
        <v>1575.01</v>
      </c>
      <c r="Q181" s="81">
        <v>0</v>
      </c>
      <c r="R181" s="81">
        <v>0</v>
      </c>
      <c r="S181" s="182" t="s">
        <v>939</v>
      </c>
      <c r="T181" s="10" t="str">
        <f>VLOOKUP(E181,'TB (H)'!$A$2:$B$279,2,0)</f>
        <v>PROVISIONS FOR DOUBTFUL ACCOUNTS</v>
      </c>
      <c r="AA181" s="43"/>
      <c r="AB181" s="272"/>
      <c r="AC181" s="43"/>
    </row>
    <row r="182" spans="2:29" x14ac:dyDescent="0.2">
      <c r="B182" s="43"/>
      <c r="D182" s="149" t="s">
        <v>33</v>
      </c>
      <c r="E182" s="77" t="s">
        <v>847</v>
      </c>
      <c r="F182" s="71" t="s">
        <v>848</v>
      </c>
      <c r="G182" s="81">
        <v>13897.92</v>
      </c>
      <c r="H182" s="81">
        <v>13897.92</v>
      </c>
      <c r="I182" s="81">
        <v>13897.92</v>
      </c>
      <c r="J182" s="81">
        <v>13897.92</v>
      </c>
      <c r="K182" s="81">
        <v>13897.92</v>
      </c>
      <c r="L182" s="81">
        <v>14293.56</v>
      </c>
      <c r="M182" s="81">
        <v>14293.56</v>
      </c>
      <c r="N182" s="81">
        <v>14293.56</v>
      </c>
      <c r="O182" s="81">
        <v>14293.56</v>
      </c>
      <c r="P182" s="81">
        <v>14293.56</v>
      </c>
      <c r="Q182" s="81">
        <v>14293.6</v>
      </c>
      <c r="R182" s="81">
        <v>14293.56</v>
      </c>
      <c r="S182" s="182" t="s">
        <v>939</v>
      </c>
      <c r="T182" s="10" t="str">
        <f>VLOOKUP(E182,'TB (H)'!$A$2:$B$279,2,0)</f>
        <v>DEPRECIATION - COMMERCIAL EQUIPMENT IFRS16</v>
      </c>
      <c r="AA182" s="43"/>
      <c r="AB182" s="272"/>
      <c r="AC182" s="43"/>
    </row>
    <row r="183" spans="2:29" x14ac:dyDescent="0.2">
      <c r="B183" s="43"/>
      <c r="D183" s="149" t="s">
        <v>33</v>
      </c>
      <c r="E183" s="77" t="s">
        <v>849</v>
      </c>
      <c r="F183" s="71" t="s">
        <v>850</v>
      </c>
      <c r="G183" s="81">
        <v>1758.76</v>
      </c>
      <c r="H183" s="81">
        <v>1758.76</v>
      </c>
      <c r="I183" s="81">
        <v>1758.76</v>
      </c>
      <c r="J183" s="81">
        <v>1758.76</v>
      </c>
      <c r="K183" s="81">
        <v>1758.76</v>
      </c>
      <c r="L183" s="81">
        <v>6192.42</v>
      </c>
      <c r="M183" s="81">
        <v>2979.57</v>
      </c>
      <c r="N183" s="81">
        <v>2979.57</v>
      </c>
      <c r="O183" s="81">
        <v>3964.15</v>
      </c>
      <c r="P183" s="81">
        <v>3964.15</v>
      </c>
      <c r="Q183" s="81">
        <v>3964.15</v>
      </c>
      <c r="R183" s="81">
        <v>3964.15</v>
      </c>
      <c r="S183" s="182" t="s">
        <v>939</v>
      </c>
      <c r="T183" s="10" t="str">
        <f>VLOOKUP(E183,'TB (H)'!$A$2:$B$279,2,0)</f>
        <v>DEPRECIATION - OTHER LEASED ASSETS IFRS16</v>
      </c>
      <c r="AA183" s="43"/>
      <c r="AB183" s="272"/>
      <c r="AC183" s="43"/>
    </row>
    <row r="184" spans="2:29" x14ac:dyDescent="0.2">
      <c r="B184" s="43"/>
      <c r="D184" s="149"/>
      <c r="E184" s="77"/>
      <c r="F184" s="71"/>
      <c r="G184" s="81">
        <v>0</v>
      </c>
      <c r="H184" s="81">
        <v>0</v>
      </c>
      <c r="I184" s="81">
        <v>0</v>
      </c>
      <c r="J184" s="81">
        <v>0</v>
      </c>
      <c r="K184" s="81">
        <v>0</v>
      </c>
      <c r="L184" s="81">
        <v>0</v>
      </c>
      <c r="M184" s="81">
        <v>0</v>
      </c>
      <c r="N184" s="81">
        <v>0</v>
      </c>
      <c r="O184" s="81">
        <v>0</v>
      </c>
      <c r="P184" s="81">
        <v>0</v>
      </c>
      <c r="Q184" s="81">
        <v>0</v>
      </c>
      <c r="R184" s="81">
        <v>0</v>
      </c>
      <c r="S184" s="182"/>
      <c r="AA184" s="43"/>
      <c r="AB184" s="272"/>
      <c r="AC184" s="43"/>
    </row>
    <row r="185" spans="2:29" x14ac:dyDescent="0.2">
      <c r="B185" s="43"/>
      <c r="D185" s="149"/>
      <c r="E185" s="77"/>
      <c r="F185" s="71"/>
      <c r="G185" s="81">
        <v>0</v>
      </c>
      <c r="H185" s="81">
        <v>0</v>
      </c>
      <c r="I185" s="81">
        <v>0</v>
      </c>
      <c r="J185" s="81">
        <v>0</v>
      </c>
      <c r="K185" s="81">
        <v>0</v>
      </c>
      <c r="L185" s="81">
        <v>0</v>
      </c>
      <c r="M185" s="81">
        <v>0</v>
      </c>
      <c r="N185" s="81">
        <v>0</v>
      </c>
      <c r="O185" s="81">
        <v>0</v>
      </c>
      <c r="P185" s="81">
        <v>0</v>
      </c>
      <c r="Q185" s="81">
        <v>0</v>
      </c>
      <c r="R185" s="81">
        <v>0</v>
      </c>
      <c r="S185" s="182"/>
      <c r="AA185" s="43"/>
      <c r="AB185" s="272"/>
      <c r="AC185" s="43"/>
    </row>
    <row r="186" spans="2:29" x14ac:dyDescent="0.2">
      <c r="B186" s="43"/>
      <c r="D186" s="149" t="s">
        <v>112</v>
      </c>
      <c r="E186" s="77" t="s">
        <v>363</v>
      </c>
      <c r="F186" s="71" t="s">
        <v>174</v>
      </c>
      <c r="G186" s="81">
        <v>5897562</v>
      </c>
      <c r="H186" s="81">
        <v>0</v>
      </c>
      <c r="I186" s="81">
        <v>0</v>
      </c>
      <c r="J186" s="81">
        <v>0</v>
      </c>
      <c r="K186" s="81">
        <v>0</v>
      </c>
      <c r="L186" s="81">
        <v>0</v>
      </c>
      <c r="M186" s="81">
        <v>0</v>
      </c>
      <c r="N186" s="81">
        <v>0</v>
      </c>
      <c r="O186" s="81">
        <v>0</v>
      </c>
      <c r="P186" s="81">
        <v>0</v>
      </c>
      <c r="Q186" s="81">
        <v>0</v>
      </c>
      <c r="R186" s="81">
        <v>0</v>
      </c>
      <c r="S186" s="182" t="s">
        <v>939</v>
      </c>
      <c r="T186" s="10" t="str">
        <f>VLOOKUP(E186,'TB (H)'!$A$2:$B$279,2,0)</f>
        <v>OPENING BALANCES PLATES FINISHED PRODUCTS</v>
      </c>
      <c r="AA186" s="43"/>
      <c r="AB186" s="272"/>
      <c r="AC186" s="43"/>
    </row>
    <row r="187" spans="2:29" x14ac:dyDescent="0.2">
      <c r="B187" s="43"/>
      <c r="D187" s="149" t="s">
        <v>112</v>
      </c>
      <c r="E187" s="77" t="s">
        <v>364</v>
      </c>
      <c r="F187" s="71" t="s">
        <v>175</v>
      </c>
      <c r="G187" s="81">
        <v>-5092166</v>
      </c>
      <c r="H187" s="81">
        <v>-330248</v>
      </c>
      <c r="I187" s="81">
        <v>-802045</v>
      </c>
      <c r="J187" s="81">
        <v>-2124388</v>
      </c>
      <c r="K187" s="81">
        <v>1560056</v>
      </c>
      <c r="L187" s="81">
        <v>-1146099</v>
      </c>
      <c r="M187" s="81">
        <v>1076370</v>
      </c>
      <c r="N187" s="81">
        <v>264919</v>
      </c>
      <c r="O187" s="81">
        <v>-254287</v>
      </c>
      <c r="P187" s="81">
        <v>-444326</v>
      </c>
      <c r="Q187" s="81">
        <v>562286</v>
      </c>
      <c r="R187" s="81">
        <v>-696349</v>
      </c>
      <c r="S187" s="182" t="s">
        <v>939</v>
      </c>
      <c r="T187" s="10" t="str">
        <f>VLOOKUP(E187,'TB (H)'!$A$2:$B$279,2,0)</f>
        <v>CLOSING BALANCES FINISHED PRODUCTS OWN PRODUCTION</v>
      </c>
      <c r="AA187" s="43"/>
      <c r="AB187" s="272"/>
      <c r="AC187" s="43"/>
    </row>
    <row r="188" spans="2:29" x14ac:dyDescent="0.2">
      <c r="B188" s="43"/>
      <c r="D188" s="149"/>
      <c r="E188" s="77"/>
      <c r="F188" s="71"/>
      <c r="G188" s="81">
        <v>0</v>
      </c>
      <c r="H188" s="81">
        <v>0</v>
      </c>
      <c r="I188" s="81">
        <v>0</v>
      </c>
      <c r="J188" s="81">
        <v>0</v>
      </c>
      <c r="K188" s="81">
        <v>0</v>
      </c>
      <c r="L188" s="81">
        <v>0</v>
      </c>
      <c r="M188" s="81">
        <v>0</v>
      </c>
      <c r="N188" s="81">
        <v>0</v>
      </c>
      <c r="O188" s="81">
        <v>0</v>
      </c>
      <c r="P188" s="81">
        <v>0</v>
      </c>
      <c r="Q188" s="81">
        <v>0</v>
      </c>
      <c r="R188" s="81">
        <v>0</v>
      </c>
      <c r="S188" s="182"/>
      <c r="AA188" s="43"/>
      <c r="AB188" s="272"/>
      <c r="AC188" s="43"/>
    </row>
    <row r="189" spans="2:29" x14ac:dyDescent="0.2">
      <c r="B189" s="43"/>
      <c r="D189" s="149" t="s">
        <v>43</v>
      </c>
      <c r="E189" s="77" t="s">
        <v>425</v>
      </c>
      <c r="F189" s="71" t="s">
        <v>251</v>
      </c>
      <c r="G189" s="81">
        <v>4806.67</v>
      </c>
      <c r="H189" s="81">
        <v>7149.05</v>
      </c>
      <c r="I189" s="81">
        <v>6099.88</v>
      </c>
      <c r="J189" s="81">
        <v>5117.96</v>
      </c>
      <c r="K189" s="81">
        <v>1865.59</v>
      </c>
      <c r="L189" s="81">
        <v>2460.41</v>
      </c>
      <c r="M189" s="81">
        <v>5659.72</v>
      </c>
      <c r="N189" s="81">
        <v>2109.9899999999998</v>
      </c>
      <c r="O189" s="81">
        <v>1994.62</v>
      </c>
      <c r="P189" s="81">
        <v>1836.97</v>
      </c>
      <c r="Q189" s="81">
        <v>2142.34</v>
      </c>
      <c r="R189" s="81">
        <v>1937.69</v>
      </c>
      <c r="S189" s="182" t="s">
        <v>945</v>
      </c>
      <c r="T189" s="10" t="str">
        <f>VLOOKUP(E189,'TB (H)'!$A$2:$B$279,2,0)</f>
        <v>OPERATIONAL BANKS COMMISSIONS</v>
      </c>
      <c r="AA189" s="43"/>
      <c r="AB189" s="272"/>
      <c r="AC189" s="43"/>
    </row>
    <row r="190" spans="2:29" x14ac:dyDescent="0.2">
      <c r="B190" s="43"/>
      <c r="D190" s="149" t="s">
        <v>753</v>
      </c>
      <c r="E190" s="77" t="s">
        <v>455</v>
      </c>
      <c r="F190" s="71" t="s">
        <v>279</v>
      </c>
      <c r="G190" s="81">
        <v>649150.24</v>
      </c>
      <c r="H190" s="81">
        <v>11752.4</v>
      </c>
      <c r="I190" s="81">
        <v>49437.35</v>
      </c>
      <c r="J190" s="81">
        <v>7598.48</v>
      </c>
      <c r="K190" s="81">
        <v>142653.46</v>
      </c>
      <c r="L190" s="81">
        <v>273309.48</v>
      </c>
      <c r="M190" s="81">
        <v>103931.48</v>
      </c>
      <c r="N190" s="81">
        <v>44430.44</v>
      </c>
      <c r="O190" s="81">
        <v>302947.57</v>
      </c>
      <c r="P190" s="81">
        <v>-25119.83</v>
      </c>
      <c r="Q190" s="81">
        <v>415409</v>
      </c>
      <c r="R190" s="81">
        <v>175647</v>
      </c>
      <c r="S190" s="182" t="s">
        <v>946</v>
      </c>
      <c r="T190" s="10" t="s">
        <v>726</v>
      </c>
      <c r="AA190" s="43"/>
      <c r="AB190" s="272"/>
      <c r="AC190" s="43"/>
    </row>
    <row r="191" spans="2:29" x14ac:dyDescent="0.2">
      <c r="B191" s="43"/>
      <c r="D191" s="149" t="s">
        <v>753</v>
      </c>
      <c r="E191" s="77" t="s">
        <v>914</v>
      </c>
      <c r="F191" s="71" t="s">
        <v>915</v>
      </c>
      <c r="G191" s="81">
        <v>0</v>
      </c>
      <c r="H191" s="81">
        <v>0</v>
      </c>
      <c r="I191" s="81">
        <v>0</v>
      </c>
      <c r="J191" s="81">
        <v>0</v>
      </c>
      <c r="K191" s="81">
        <v>0</v>
      </c>
      <c r="L191" s="81">
        <v>0</v>
      </c>
      <c r="M191" s="81">
        <v>0</v>
      </c>
      <c r="N191" s="81">
        <v>0</v>
      </c>
      <c r="O191" s="81">
        <v>0</v>
      </c>
      <c r="P191" s="81">
        <v>0</v>
      </c>
      <c r="Q191" s="81">
        <v>0</v>
      </c>
      <c r="R191" s="81">
        <v>0</v>
      </c>
      <c r="S191" s="182"/>
      <c r="AA191" s="43"/>
      <c r="AB191" s="272"/>
      <c r="AC191" s="43"/>
    </row>
    <row r="192" spans="2:29" x14ac:dyDescent="0.2">
      <c r="B192" s="43"/>
      <c r="D192" s="149" t="s">
        <v>753</v>
      </c>
      <c r="E192" s="77" t="s">
        <v>453</v>
      </c>
      <c r="F192" s="71" t="s">
        <v>277</v>
      </c>
      <c r="G192" s="81">
        <v>-763989.67</v>
      </c>
      <c r="H192" s="81">
        <v>-17961.09</v>
      </c>
      <c r="I192" s="81">
        <v>-57274.25</v>
      </c>
      <c r="J192" s="81">
        <v>46804.36</v>
      </c>
      <c r="K192" s="81">
        <v>-267368.71000000002</v>
      </c>
      <c r="L192" s="81">
        <v>-387573.9</v>
      </c>
      <c r="M192" s="81">
        <v>-238409.93</v>
      </c>
      <c r="N192" s="81">
        <v>-435885.14</v>
      </c>
      <c r="O192" s="81">
        <v>-657745.06999999995</v>
      </c>
      <c r="P192" s="81">
        <v>417243.95</v>
      </c>
      <c r="Q192" s="81">
        <v>19166.3</v>
      </c>
      <c r="R192" s="81">
        <v>-134866.18</v>
      </c>
      <c r="S192" s="182" t="s">
        <v>946</v>
      </c>
      <c r="T192" s="10" t="str">
        <f>VLOOKUP(E192,'TB (H)'!$A$2:$B$279,2,0)</f>
        <v>OPERATIONAL PROCEEDS FROM EXCHANGE RATE</v>
      </c>
      <c r="AA192" s="43"/>
      <c r="AB192" s="272"/>
      <c r="AC192" s="43"/>
    </row>
    <row r="193" spans="2:29" x14ac:dyDescent="0.2">
      <c r="B193" s="43"/>
      <c r="D193" s="149" t="s">
        <v>43</v>
      </c>
      <c r="E193" s="77" t="s">
        <v>745</v>
      </c>
      <c r="F193" s="71" t="s">
        <v>746</v>
      </c>
      <c r="G193" s="81">
        <v>110.76</v>
      </c>
      <c r="H193" s="81">
        <v>0</v>
      </c>
      <c r="I193" s="81">
        <v>10.31</v>
      </c>
      <c r="J193" s="81">
        <v>2.06</v>
      </c>
      <c r="K193" s="81">
        <v>6.07</v>
      </c>
      <c r="L193" s="81">
        <v>16.95</v>
      </c>
      <c r="M193" s="81">
        <v>-0.01</v>
      </c>
      <c r="N193" s="81">
        <v>0.03</v>
      </c>
      <c r="O193" s="81">
        <v>0.01</v>
      </c>
      <c r="P193" s="81">
        <v>0.46</v>
      </c>
      <c r="Q193" s="81">
        <v>0.06</v>
      </c>
      <c r="R193" s="81">
        <v>2.2799999999999998</v>
      </c>
      <c r="S193" s="182" t="s">
        <v>945</v>
      </c>
      <c r="AA193" s="43"/>
      <c r="AB193" s="272"/>
      <c r="AC193" s="43"/>
    </row>
    <row r="194" spans="2:29" x14ac:dyDescent="0.2">
      <c r="B194" s="43"/>
      <c r="D194" s="149"/>
      <c r="E194" s="77"/>
      <c r="F194" s="71"/>
      <c r="G194" s="81">
        <v>0</v>
      </c>
      <c r="H194" s="81">
        <v>0</v>
      </c>
      <c r="I194" s="81">
        <v>0</v>
      </c>
      <c r="J194" s="81">
        <v>0</v>
      </c>
      <c r="K194" s="81">
        <v>0</v>
      </c>
      <c r="L194" s="81">
        <v>0</v>
      </c>
      <c r="M194" s="81">
        <v>0</v>
      </c>
      <c r="N194" s="81">
        <v>0</v>
      </c>
      <c r="O194" s="81">
        <v>0</v>
      </c>
      <c r="P194" s="81">
        <v>0</v>
      </c>
      <c r="Q194" s="81">
        <v>0</v>
      </c>
      <c r="R194" s="81">
        <v>0</v>
      </c>
      <c r="S194" s="182"/>
      <c r="AA194" s="43"/>
      <c r="AB194" s="272"/>
      <c r="AC194" s="43"/>
    </row>
    <row r="195" spans="2:29" x14ac:dyDescent="0.2">
      <c r="B195" s="43"/>
      <c r="D195" s="149"/>
      <c r="E195" s="77"/>
      <c r="F195" s="71"/>
      <c r="G195" s="81">
        <v>0</v>
      </c>
      <c r="H195" s="81">
        <v>0</v>
      </c>
      <c r="I195" s="81">
        <v>0</v>
      </c>
      <c r="J195" s="81">
        <v>0</v>
      </c>
      <c r="K195" s="81">
        <v>0</v>
      </c>
      <c r="L195" s="81">
        <v>0</v>
      </c>
      <c r="M195" s="81">
        <v>0</v>
      </c>
      <c r="N195" s="81">
        <v>0</v>
      </c>
      <c r="O195" s="81">
        <v>0</v>
      </c>
      <c r="P195" s="81">
        <v>0</v>
      </c>
      <c r="Q195" s="81">
        <v>0</v>
      </c>
      <c r="R195" s="81">
        <v>0</v>
      </c>
      <c r="S195" s="182"/>
      <c r="AA195" s="43"/>
      <c r="AB195" s="272"/>
      <c r="AC195" s="43"/>
    </row>
    <row r="196" spans="2:29" x14ac:dyDescent="0.2">
      <c r="B196" s="43"/>
      <c r="D196" s="149" t="s">
        <v>755</v>
      </c>
      <c r="E196" s="77" t="s">
        <v>454</v>
      </c>
      <c r="F196" s="71" t="s">
        <v>278</v>
      </c>
      <c r="G196" s="81">
        <v>73055.38</v>
      </c>
      <c r="H196" s="81">
        <v>68523.73</v>
      </c>
      <c r="I196" s="81">
        <v>63901.33</v>
      </c>
      <c r="J196" s="81">
        <v>38663.33</v>
      </c>
      <c r="K196" s="81">
        <v>35166.68</v>
      </c>
      <c r="L196" s="81">
        <v>42462.99</v>
      </c>
      <c r="M196" s="81">
        <v>60837.760000000002</v>
      </c>
      <c r="N196" s="81">
        <v>66077.7</v>
      </c>
      <c r="O196" s="81">
        <v>74239.92</v>
      </c>
      <c r="P196" s="81">
        <v>49945.81</v>
      </c>
      <c r="Q196" s="81">
        <v>30079.7</v>
      </c>
      <c r="R196" s="81">
        <v>31424.12</v>
      </c>
      <c r="S196" s="182" t="s">
        <v>947</v>
      </c>
      <c r="T196" s="10" t="str">
        <f>VLOOKUP(E196,'TB (H)'!$A$2:$B$279,2,0)</f>
        <v>INTEREST TO PARENT COMPANIES</v>
      </c>
      <c r="AA196" s="43"/>
      <c r="AB196" s="272"/>
      <c r="AC196" s="43"/>
    </row>
    <row r="197" spans="2:29" x14ac:dyDescent="0.2">
      <c r="B197" s="43"/>
      <c r="D197" s="149"/>
      <c r="E197" s="77" t="s">
        <v>452</v>
      </c>
      <c r="F197" s="71" t="s">
        <v>276</v>
      </c>
      <c r="G197" s="81">
        <v>0</v>
      </c>
      <c r="H197" s="81">
        <v>0</v>
      </c>
      <c r="I197" s="81">
        <v>0</v>
      </c>
      <c r="J197" s="81">
        <v>0</v>
      </c>
      <c r="K197" s="81">
        <v>0</v>
      </c>
      <c r="L197" s="81">
        <v>0</v>
      </c>
      <c r="M197" s="81">
        <v>0</v>
      </c>
      <c r="N197" s="81">
        <v>0</v>
      </c>
      <c r="O197" s="81">
        <v>0</v>
      </c>
      <c r="P197" s="81">
        <v>0</v>
      </c>
      <c r="Q197" s="81">
        <v>0</v>
      </c>
      <c r="R197" s="81">
        <v>0</v>
      </c>
      <c r="S197" s="182" t="s">
        <v>947</v>
      </c>
      <c r="T197" s="10" t="str">
        <f>VLOOKUP(E197,'TB (H)'!$A$2:$B$279,2,0)</f>
        <v>INCOME FOR PUBLIC CONTRIBUTION</v>
      </c>
      <c r="AA197" s="43"/>
      <c r="AB197" s="272"/>
      <c r="AC197" s="43"/>
    </row>
    <row r="198" spans="2:29" x14ac:dyDescent="0.2">
      <c r="B198" s="43"/>
      <c r="D198" s="149" t="s">
        <v>870</v>
      </c>
      <c r="E198" s="77" t="s">
        <v>451</v>
      </c>
      <c r="F198" s="71" t="s">
        <v>724</v>
      </c>
      <c r="G198" s="81">
        <v>0</v>
      </c>
      <c r="H198" s="81">
        <v>0</v>
      </c>
      <c r="I198" s="81">
        <v>0</v>
      </c>
      <c r="J198" s="81">
        <v>0</v>
      </c>
      <c r="K198" s="81">
        <v>0</v>
      </c>
      <c r="L198" s="81">
        <v>0</v>
      </c>
      <c r="M198" s="81">
        <v>0</v>
      </c>
      <c r="N198" s="81">
        <v>0</v>
      </c>
      <c r="O198" s="81">
        <v>-203.4</v>
      </c>
      <c r="P198" s="81">
        <v>0</v>
      </c>
      <c r="Q198" s="81">
        <v>0</v>
      </c>
      <c r="R198" s="81">
        <v>-168.97</v>
      </c>
      <c r="S198" s="182" t="s">
        <v>947</v>
      </c>
      <c r="T198" s="10" t="str">
        <f>VLOOKUP(E198,'TB (H)'!$A$2:$B$279,2,0)</f>
        <v>INTEREST FROM BANKS</v>
      </c>
      <c r="AA198" s="43"/>
      <c r="AB198" s="272"/>
      <c r="AC198" s="43"/>
    </row>
    <row r="199" spans="2:29" x14ac:dyDescent="0.2">
      <c r="B199" s="43"/>
      <c r="D199" s="149" t="s">
        <v>870</v>
      </c>
      <c r="E199" s="77" t="s">
        <v>872</v>
      </c>
      <c r="F199" s="71" t="s">
        <v>873</v>
      </c>
      <c r="G199" s="81">
        <v>0</v>
      </c>
      <c r="H199" s="81">
        <v>0</v>
      </c>
      <c r="I199" s="81">
        <v>0</v>
      </c>
      <c r="J199" s="81">
        <v>0</v>
      </c>
      <c r="K199" s="81">
        <v>0</v>
      </c>
      <c r="L199" s="81">
        <v>0</v>
      </c>
      <c r="M199" s="81">
        <v>0</v>
      </c>
      <c r="N199" s="81">
        <v>0</v>
      </c>
      <c r="O199" s="81">
        <v>0</v>
      </c>
      <c r="P199" s="81">
        <v>0</v>
      </c>
      <c r="Q199" s="81">
        <v>0</v>
      </c>
      <c r="R199" s="81">
        <v>0</v>
      </c>
      <c r="S199" s="182" t="s">
        <v>947</v>
      </c>
      <c r="T199" s="10" t="str">
        <f>VLOOKUP(E199,'TB (H)'!$A$2:$B$279,2,0)</f>
        <v>INTEREST FROM CUSTOMERS</v>
      </c>
      <c r="AA199" s="43"/>
      <c r="AB199" s="272"/>
      <c r="AC199" s="43"/>
    </row>
    <row r="200" spans="2:29" x14ac:dyDescent="0.2">
      <c r="B200" s="43"/>
      <c r="D200" s="149" t="s">
        <v>870</v>
      </c>
      <c r="E200" s="77" t="s">
        <v>916</v>
      </c>
      <c r="F200" s="71" t="s">
        <v>917</v>
      </c>
      <c r="G200" s="81">
        <v>-1546.2</v>
      </c>
      <c r="H200" s="81">
        <v>0</v>
      </c>
      <c r="I200" s="81">
        <v>0</v>
      </c>
      <c r="J200" s="81">
        <v>0</v>
      </c>
      <c r="K200" s="81">
        <v>2789.97</v>
      </c>
      <c r="L200" s="81">
        <v>0</v>
      </c>
      <c r="M200" s="81">
        <v>347.11</v>
      </c>
      <c r="N200" s="81">
        <v>2161.89</v>
      </c>
      <c r="O200" s="81">
        <v>0</v>
      </c>
      <c r="P200" s="81">
        <v>-13392.87</v>
      </c>
      <c r="Q200" s="81">
        <v>0</v>
      </c>
      <c r="R200" s="81">
        <v>0</v>
      </c>
      <c r="S200" s="182" t="s">
        <v>947</v>
      </c>
      <c r="T200" s="10" t="str">
        <f>VLOOKUP(E200,'TB (H)'!$A$2:$B$279,2,0)</f>
        <v>INTEREST FOR LATE IN PAYMENTS</v>
      </c>
      <c r="AA200" s="43"/>
      <c r="AB200" s="272"/>
      <c r="AC200" s="43"/>
    </row>
    <row r="201" spans="2:29" x14ac:dyDescent="0.2">
      <c r="B201" s="43"/>
      <c r="D201" s="149" t="s">
        <v>871</v>
      </c>
      <c r="E201" s="77" t="s">
        <v>953</v>
      </c>
      <c r="F201" s="71" t="s">
        <v>954</v>
      </c>
      <c r="G201" s="81">
        <v>0</v>
      </c>
      <c r="H201" s="81">
        <v>0</v>
      </c>
      <c r="I201" s="81">
        <v>0</v>
      </c>
      <c r="J201" s="81">
        <v>0</v>
      </c>
      <c r="K201" s="81">
        <v>0</v>
      </c>
      <c r="L201" s="81">
        <v>0</v>
      </c>
      <c r="M201" s="81">
        <v>0</v>
      </c>
      <c r="N201" s="81">
        <v>0</v>
      </c>
      <c r="O201" s="81">
        <v>0</v>
      </c>
      <c r="P201" s="81">
        <v>0</v>
      </c>
      <c r="Q201" s="81">
        <v>0</v>
      </c>
      <c r="R201" s="81">
        <v>0</v>
      </c>
      <c r="S201" s="182" t="s">
        <v>945</v>
      </c>
      <c r="AA201" s="43"/>
      <c r="AB201" s="272"/>
      <c r="AC201" s="43"/>
    </row>
    <row r="202" spans="2:29" x14ac:dyDescent="0.2">
      <c r="B202" s="43"/>
      <c r="D202" s="149" t="s">
        <v>870</v>
      </c>
      <c r="E202" s="77" t="s">
        <v>729</v>
      </c>
      <c r="F202" s="71" t="s">
        <v>730</v>
      </c>
      <c r="G202" s="81">
        <v>138518.41</v>
      </c>
      <c r="H202" s="81">
        <v>108628.94</v>
      </c>
      <c r="I202" s="81">
        <v>99292.86</v>
      </c>
      <c r="J202" s="81">
        <v>108892.64</v>
      </c>
      <c r="K202" s="81">
        <v>134040.93</v>
      </c>
      <c r="L202" s="81">
        <v>110871.17</v>
      </c>
      <c r="M202" s="81">
        <v>109606.3</v>
      </c>
      <c r="N202" s="81">
        <v>138958.68</v>
      </c>
      <c r="O202" s="81">
        <v>102835.07</v>
      </c>
      <c r="P202" s="81">
        <v>113624.67</v>
      </c>
      <c r="Q202" s="81">
        <v>61948</v>
      </c>
      <c r="R202" s="81">
        <v>66835.81</v>
      </c>
      <c r="S202" s="182" t="s">
        <v>947</v>
      </c>
      <c r="T202" s="10" t="s">
        <v>870</v>
      </c>
      <c r="AA202" s="43"/>
      <c r="AB202" s="272"/>
      <c r="AC202" s="43"/>
    </row>
    <row r="203" spans="2:29" x14ac:dyDescent="0.2">
      <c r="B203" s="43"/>
      <c r="D203" s="149" t="s">
        <v>871</v>
      </c>
      <c r="E203" s="77" t="s">
        <v>851</v>
      </c>
      <c r="F203" s="71" t="s">
        <v>852</v>
      </c>
      <c r="G203" s="81">
        <v>2994.91</v>
      </c>
      <c r="H203" s="81">
        <v>2994.91</v>
      </c>
      <c r="I203" s="81">
        <v>2422.06</v>
      </c>
      <c r="J203" s="81">
        <v>2803.96</v>
      </c>
      <c r="K203" s="81">
        <v>2803.96</v>
      </c>
      <c r="L203" s="81">
        <v>3657.19</v>
      </c>
      <c r="M203" s="81">
        <v>3154.91</v>
      </c>
      <c r="N203" s="81">
        <v>3147.02</v>
      </c>
      <c r="O203" s="81">
        <v>3792.78</v>
      </c>
      <c r="P203" s="81">
        <v>3776.36</v>
      </c>
      <c r="Q203" s="81">
        <v>3759.83</v>
      </c>
      <c r="R203" s="81">
        <v>3743.18</v>
      </c>
      <c r="S203" s="182" t="s">
        <v>947</v>
      </c>
      <c r="T203" s="10" t="str">
        <f>VLOOKUP(E203,'TB (H)'!$A$2:$B$279,2,0)</f>
        <v>INTEREST ON BONDED LOANS</v>
      </c>
      <c r="AA203" s="43"/>
      <c r="AB203" s="272"/>
      <c r="AC203" s="43"/>
    </row>
    <row r="204" spans="2:29" x14ac:dyDescent="0.2">
      <c r="B204" s="43"/>
      <c r="D204" s="149"/>
      <c r="E204" s="77"/>
      <c r="F204" s="71"/>
      <c r="G204" s="81">
        <v>0</v>
      </c>
      <c r="H204" s="81">
        <v>0</v>
      </c>
      <c r="I204" s="81">
        <v>0</v>
      </c>
      <c r="J204" s="81">
        <v>0</v>
      </c>
      <c r="K204" s="81">
        <v>0</v>
      </c>
      <c r="L204" s="81">
        <v>0</v>
      </c>
      <c r="M204" s="81">
        <v>0</v>
      </c>
      <c r="N204" s="81">
        <v>0</v>
      </c>
      <c r="O204" s="81">
        <v>0</v>
      </c>
      <c r="P204" s="81">
        <v>0</v>
      </c>
      <c r="Q204" s="81">
        <v>0</v>
      </c>
      <c r="R204" s="81">
        <v>0</v>
      </c>
      <c r="S204" s="182"/>
      <c r="AA204" s="43"/>
      <c r="AB204" s="272"/>
      <c r="AC204" s="43"/>
    </row>
    <row r="205" spans="2:29" x14ac:dyDescent="0.2">
      <c r="B205" s="43"/>
      <c r="D205" s="149" t="s">
        <v>169</v>
      </c>
      <c r="E205" s="77" t="s">
        <v>445</v>
      </c>
      <c r="F205" s="71" t="s">
        <v>270</v>
      </c>
      <c r="G205" s="81">
        <v>0</v>
      </c>
      <c r="H205" s="81">
        <v>0</v>
      </c>
      <c r="I205" s="81">
        <v>0</v>
      </c>
      <c r="J205" s="81">
        <v>0</v>
      </c>
      <c r="K205" s="81">
        <v>-0.01</v>
      </c>
      <c r="L205" s="81">
        <v>0</v>
      </c>
      <c r="M205" s="81">
        <v>0</v>
      </c>
      <c r="N205" s="81">
        <v>0</v>
      </c>
      <c r="O205" s="81">
        <v>0</v>
      </c>
      <c r="P205" s="81">
        <v>0</v>
      </c>
      <c r="Q205" s="81">
        <v>0</v>
      </c>
      <c r="R205" s="81">
        <v>0</v>
      </c>
      <c r="S205" s="182" t="s">
        <v>939</v>
      </c>
      <c r="T205" s="10" t="str">
        <f>VLOOKUP(E205,'TB (H)'!$A$2:$B$279,2,0)</f>
        <v>LOSS ON RECEIVABLES</v>
      </c>
      <c r="AA205" s="43"/>
      <c r="AB205" s="272"/>
      <c r="AC205" s="43"/>
    </row>
    <row r="206" spans="2:29" x14ac:dyDescent="0.2">
      <c r="B206" s="43"/>
      <c r="D206" s="149"/>
      <c r="E206" s="77"/>
      <c r="F206" s="71"/>
      <c r="G206" s="81">
        <v>0</v>
      </c>
      <c r="H206" s="81">
        <v>0</v>
      </c>
      <c r="I206" s="81">
        <v>0</v>
      </c>
      <c r="J206" s="81">
        <v>0</v>
      </c>
      <c r="K206" s="81">
        <v>0</v>
      </c>
      <c r="L206" s="81">
        <v>0</v>
      </c>
      <c r="M206" s="81">
        <v>0</v>
      </c>
      <c r="N206" s="81">
        <v>0</v>
      </c>
      <c r="O206" s="81">
        <v>0</v>
      </c>
      <c r="P206" s="81">
        <v>0</v>
      </c>
      <c r="Q206" s="81">
        <v>0</v>
      </c>
      <c r="R206" s="81">
        <v>0</v>
      </c>
      <c r="S206" s="182"/>
      <c r="AA206" s="43"/>
      <c r="AB206" s="272"/>
      <c r="AC206" s="43"/>
    </row>
    <row r="207" spans="2:29" x14ac:dyDescent="0.2">
      <c r="D207" s="149"/>
      <c r="E207" s="77" t="s">
        <v>448</v>
      </c>
      <c r="F207" s="71" t="s">
        <v>273</v>
      </c>
      <c r="G207" s="81">
        <v>0</v>
      </c>
      <c r="H207" s="81">
        <v>0</v>
      </c>
      <c r="I207" s="81">
        <v>0</v>
      </c>
      <c r="J207" s="81">
        <v>0</v>
      </c>
      <c r="K207" s="81">
        <v>0</v>
      </c>
      <c r="L207" s="81">
        <v>0</v>
      </c>
      <c r="M207" s="81">
        <v>0</v>
      </c>
      <c r="N207" s="81">
        <v>0</v>
      </c>
      <c r="O207" s="81">
        <v>0</v>
      </c>
      <c r="P207" s="81">
        <v>0</v>
      </c>
      <c r="Q207" s="81">
        <v>0</v>
      </c>
      <c r="R207" s="81">
        <v>0</v>
      </c>
      <c r="S207" s="182"/>
      <c r="T207" s="10" t="str">
        <f>VLOOKUP(E207,'TB (H)'!$A$2:$B$279,2,0)</f>
        <v>CAPITAL LOSSES ON TRANSFER OF TANG/INTANG.</v>
      </c>
      <c r="AA207" s="43"/>
      <c r="AB207" s="272"/>
      <c r="AC207" s="43"/>
    </row>
    <row r="208" spans="2:29" x14ac:dyDescent="0.2">
      <c r="D208" s="149"/>
      <c r="E208" s="77" t="s">
        <v>504</v>
      </c>
      <c r="F208" s="71" t="s">
        <v>259</v>
      </c>
      <c r="G208" s="81">
        <v>0</v>
      </c>
      <c r="H208" s="81">
        <v>0</v>
      </c>
      <c r="I208" s="81">
        <v>0</v>
      </c>
      <c r="J208" s="81">
        <v>0</v>
      </c>
      <c r="K208" s="81">
        <v>0</v>
      </c>
      <c r="L208" s="81">
        <v>0</v>
      </c>
      <c r="M208" s="81">
        <v>0</v>
      </c>
      <c r="N208" s="81">
        <v>0</v>
      </c>
      <c r="O208" s="81">
        <v>0</v>
      </c>
      <c r="P208" s="81">
        <v>0</v>
      </c>
      <c r="Q208" s="81">
        <v>0</v>
      </c>
      <c r="R208" s="81">
        <v>0</v>
      </c>
      <c r="S208" s="182"/>
      <c r="AA208" s="43"/>
      <c r="AB208" s="272"/>
      <c r="AC208" s="43"/>
    </row>
    <row r="209" spans="4:29" x14ac:dyDescent="0.2">
      <c r="D209" s="149"/>
      <c r="E209" s="77" t="s">
        <v>502</v>
      </c>
      <c r="F209" s="71" t="s">
        <v>503</v>
      </c>
      <c r="G209" s="81">
        <v>0</v>
      </c>
      <c r="H209" s="81">
        <v>0</v>
      </c>
      <c r="I209" s="81">
        <v>0</v>
      </c>
      <c r="J209" s="81">
        <v>0</v>
      </c>
      <c r="K209" s="81">
        <v>0</v>
      </c>
      <c r="L209" s="81">
        <v>0</v>
      </c>
      <c r="M209" s="81">
        <v>0</v>
      </c>
      <c r="N209" s="81">
        <v>0</v>
      </c>
      <c r="O209" s="81">
        <v>0</v>
      </c>
      <c r="P209" s="81">
        <v>0</v>
      </c>
      <c r="Q209" s="81">
        <v>0</v>
      </c>
      <c r="R209" s="81">
        <v>-15.86</v>
      </c>
      <c r="S209" s="182"/>
      <c r="T209" s="10" t="str">
        <f>VLOOKUP(E209,'TB (H)'!$A$2:$B$279,2,0)</f>
        <v>FIN INCOME FROM EQUITY INVESTMENTS DIVIDENDS FROM AFFILIATED COMPANIES</v>
      </c>
      <c r="AA209" s="43"/>
      <c r="AB209" s="272"/>
      <c r="AC209" s="43"/>
    </row>
    <row r="210" spans="4:29" x14ac:dyDescent="0.2">
      <c r="D210" s="149" t="s">
        <v>1022</v>
      </c>
      <c r="E210" s="77" t="s">
        <v>456</v>
      </c>
      <c r="F210" s="71" t="s">
        <v>747</v>
      </c>
      <c r="G210" s="81">
        <v>0</v>
      </c>
      <c r="H210" s="81">
        <v>0</v>
      </c>
      <c r="I210" s="81">
        <v>0</v>
      </c>
      <c r="J210" s="81">
        <v>0</v>
      </c>
      <c r="K210" s="81">
        <v>0</v>
      </c>
      <c r="L210" s="81">
        <v>0</v>
      </c>
      <c r="M210" s="81">
        <v>0</v>
      </c>
      <c r="N210" s="81">
        <v>0</v>
      </c>
      <c r="O210" s="81">
        <v>0</v>
      </c>
      <c r="P210" s="81">
        <v>0</v>
      </c>
      <c r="Q210" s="81">
        <v>0</v>
      </c>
      <c r="R210" s="81">
        <v>0</v>
      </c>
      <c r="S210" s="149"/>
      <c r="AA210" s="43"/>
      <c r="AB210" s="272"/>
      <c r="AC210" s="43"/>
    </row>
    <row r="211" spans="4:29" x14ac:dyDescent="0.2">
      <c r="D211" s="149"/>
      <c r="E211" s="77"/>
      <c r="F211" s="71"/>
      <c r="G211" s="216">
        <f t="shared" ref="G211:R211" si="1">SUM(G9:G210)</f>
        <v>205763.70999999903</v>
      </c>
      <c r="H211" s="216">
        <f t="shared" si="1"/>
        <v>-557806.48999999941</v>
      </c>
      <c r="I211" s="216">
        <f t="shared" si="1"/>
        <v>-9094393.3799999934</v>
      </c>
      <c r="J211" s="216">
        <f t="shared" si="1"/>
        <v>-395526.51999999955</v>
      </c>
      <c r="K211" s="216">
        <f t="shared" si="1"/>
        <v>462955.12999999948</v>
      </c>
      <c r="L211" s="216">
        <f t="shared" si="1"/>
        <v>311341.86999999924</v>
      </c>
      <c r="M211" s="216">
        <f t="shared" si="1"/>
        <v>376022.13000000158</v>
      </c>
      <c r="N211" s="216">
        <f t="shared" si="1"/>
        <v>1287855.5100000007</v>
      </c>
      <c r="O211" s="216">
        <f t="shared" si="1"/>
        <v>1041751.3399999999</v>
      </c>
      <c r="P211" s="216">
        <f t="shared" si="1"/>
        <v>1502668.0199999996</v>
      </c>
      <c r="Q211" s="216">
        <f t="shared" si="1"/>
        <v>1789910.5599999991</v>
      </c>
      <c r="R211" s="216">
        <f t="shared" si="1"/>
        <v>613153.97999999975</v>
      </c>
      <c r="S211" s="149"/>
      <c r="AA211" s="43"/>
      <c r="AB211" s="272"/>
      <c r="AC211" s="43"/>
    </row>
    <row r="212" spans="4:29" ht="13.5" thickBot="1" x14ac:dyDescent="0.25">
      <c r="D212" s="251"/>
      <c r="E212" s="78"/>
      <c r="F212" s="72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  <c r="S212" s="251"/>
    </row>
    <row r="213" spans="4:29" x14ac:dyDescent="0.2">
      <c r="G213" s="220">
        <f>G211</f>
        <v>205763.70999999903</v>
      </c>
      <c r="H213" s="220">
        <f>H211</f>
        <v>-557806.48999999941</v>
      </c>
      <c r="I213" s="220">
        <f t="shared" ref="I213:S213" si="2">I211</f>
        <v>-9094393.3799999934</v>
      </c>
      <c r="J213" s="220">
        <f t="shared" si="2"/>
        <v>-395526.51999999955</v>
      </c>
      <c r="K213" s="220">
        <f t="shared" si="2"/>
        <v>462955.12999999948</v>
      </c>
      <c r="L213" s="220">
        <f t="shared" si="2"/>
        <v>311341.86999999924</v>
      </c>
      <c r="M213" s="220">
        <f t="shared" si="2"/>
        <v>376022.13000000158</v>
      </c>
      <c r="N213" s="220">
        <f t="shared" si="2"/>
        <v>1287855.5100000007</v>
      </c>
      <c r="O213" s="220">
        <f t="shared" si="2"/>
        <v>1041751.3399999999</v>
      </c>
      <c r="P213" s="220">
        <f t="shared" si="2"/>
        <v>1502668.0199999996</v>
      </c>
      <c r="Q213" s="220">
        <f t="shared" si="2"/>
        <v>1789910.5599999991</v>
      </c>
      <c r="R213" s="220">
        <f t="shared" si="2"/>
        <v>613153.97999999975</v>
      </c>
      <c r="S213" s="220">
        <f t="shared" si="2"/>
        <v>0</v>
      </c>
    </row>
    <row r="214" spans="4:29" x14ac:dyDescent="0.2">
      <c r="F214" s="10" t="s">
        <v>740</v>
      </c>
      <c r="G214" s="44">
        <v>-205763.71</v>
      </c>
      <c r="H214" s="44">
        <v>557806.49</v>
      </c>
      <c r="I214" s="44">
        <v>9094393.4700000007</v>
      </c>
      <c r="J214" s="44">
        <v>395526.52</v>
      </c>
      <c r="K214" s="44">
        <v>-462955.12</v>
      </c>
      <c r="L214" s="44">
        <v>-311341.87</v>
      </c>
      <c r="M214" s="44">
        <v>-376022.13</v>
      </c>
      <c r="N214" s="44">
        <v>-1287855.50999995</v>
      </c>
      <c r="O214" s="44">
        <v>-1041751.34</v>
      </c>
      <c r="P214" s="44">
        <v>-1502667.77000002</v>
      </c>
      <c r="Q214" s="44">
        <v>-1789893.6799999001</v>
      </c>
      <c r="R214" s="44">
        <f>-'TB (H)'!N294</f>
        <v>-613153.9700000789</v>
      </c>
    </row>
    <row r="215" spans="4:29" x14ac:dyDescent="0.2">
      <c r="G215" s="44">
        <f>G214+G213</f>
        <v>-9.6042640507221222E-10</v>
      </c>
      <c r="H215" s="44">
        <f t="shared" ref="H215:I215" si="3">H214+H213</f>
        <v>0</v>
      </c>
      <c r="I215" s="44">
        <f t="shared" si="3"/>
        <v>9.0000007301568985E-2</v>
      </c>
      <c r="J215" s="44">
        <f t="shared" ref="J215:Q215" si="4">J214+J213</f>
        <v>4.6566128730773926E-10</v>
      </c>
      <c r="K215" s="44">
        <f t="shared" si="4"/>
        <v>9.9999994854442775E-3</v>
      </c>
      <c r="L215" s="44">
        <f t="shared" si="4"/>
        <v>-7.5669959187507629E-10</v>
      </c>
      <c r="M215" s="44">
        <f t="shared" si="4"/>
        <v>1.57160684466362E-9</v>
      </c>
      <c r="N215" s="44">
        <f t="shared" si="4"/>
        <v>5.0757080316543579E-8</v>
      </c>
      <c r="O215" s="44">
        <f t="shared" si="4"/>
        <v>0</v>
      </c>
      <c r="P215" s="44">
        <f t="shared" si="4"/>
        <v>0.24999997951090336</v>
      </c>
      <c r="Q215" s="44">
        <f t="shared" si="4"/>
        <v>16.880000099074095</v>
      </c>
      <c r="R215" s="44">
        <f>R214+R213</f>
        <v>9.9999208468943834E-3</v>
      </c>
    </row>
    <row r="216" spans="4:29" x14ac:dyDescent="0.2">
      <c r="F216" s="171"/>
      <c r="G216" s="165"/>
      <c r="H216" s="165"/>
      <c r="I216" s="166"/>
      <c r="J216" s="166"/>
      <c r="K216" s="167"/>
      <c r="L216" s="167"/>
      <c r="M216" s="167"/>
      <c r="N216" s="167"/>
      <c r="O216" s="167"/>
      <c r="P216" s="167"/>
      <c r="Q216" s="167"/>
      <c r="R216" s="167"/>
      <c r="S216" s="167" t="s">
        <v>54</v>
      </c>
    </row>
    <row r="217" spans="4:29" x14ac:dyDescent="0.2">
      <c r="F217" s="172" t="s">
        <v>305</v>
      </c>
      <c r="G217" s="184">
        <v>16100.8</v>
      </c>
      <c r="H217" s="184">
        <v>16870.45</v>
      </c>
      <c r="I217" s="184">
        <v>14817</v>
      </c>
      <c r="J217" s="184">
        <v>14177.04</v>
      </c>
      <c r="K217" s="184">
        <v>14056.35</v>
      </c>
      <c r="L217" s="184">
        <v>13152.48</v>
      </c>
      <c r="M217" s="184">
        <v>15117</v>
      </c>
      <c r="N217" s="184">
        <v>10419.07</v>
      </c>
      <c r="O217" s="184">
        <v>9859</v>
      </c>
      <c r="P217" s="184">
        <v>8863.85</v>
      </c>
      <c r="Q217" s="184">
        <v>9927</v>
      </c>
      <c r="R217" s="184">
        <v>6829.92</v>
      </c>
      <c r="S217" s="167"/>
    </row>
    <row r="218" spans="4:29" x14ac:dyDescent="0.2">
      <c r="F218" s="172" t="s">
        <v>738</v>
      </c>
      <c r="G218" s="183">
        <v>532.13</v>
      </c>
      <c r="H218" s="183">
        <v>526.07000000000005</v>
      </c>
      <c r="I218" s="183">
        <v>534.07000000000005</v>
      </c>
      <c r="J218" s="183">
        <v>527.92999999999995</v>
      </c>
      <c r="K218" s="183">
        <v>536.67999999999995</v>
      </c>
      <c r="L218" s="183">
        <v>565.33357789423519</v>
      </c>
      <c r="M218" s="183">
        <v>544.38</v>
      </c>
      <c r="N218" s="183">
        <v>542.69000000000005</v>
      </c>
      <c r="O218" s="183">
        <v>538.91999999999996</v>
      </c>
      <c r="P218" s="183">
        <v>540.09</v>
      </c>
      <c r="Q218" s="183">
        <v>500.89828421690902</v>
      </c>
      <c r="R218" s="183">
        <v>476.80000160752979</v>
      </c>
    </row>
    <row r="219" spans="4:29" x14ac:dyDescent="0.2">
      <c r="F219" s="172" t="s">
        <v>289</v>
      </c>
      <c r="G219" s="183">
        <v>330</v>
      </c>
      <c r="H219" s="183">
        <v>340</v>
      </c>
      <c r="I219" s="183">
        <v>340</v>
      </c>
      <c r="J219" s="183">
        <v>300</v>
      </c>
      <c r="K219" s="183">
        <v>300</v>
      </c>
      <c r="L219" s="183">
        <v>280</v>
      </c>
      <c r="M219" s="183">
        <v>280</v>
      </c>
      <c r="N219" s="183">
        <v>280</v>
      </c>
      <c r="O219" s="183">
        <v>275</v>
      </c>
      <c r="P219" s="183">
        <v>270</v>
      </c>
      <c r="Q219" s="183">
        <v>270</v>
      </c>
      <c r="R219" s="183">
        <v>265</v>
      </c>
    </row>
    <row r="220" spans="4:29" x14ac:dyDescent="0.2">
      <c r="F220" s="172" t="s">
        <v>290</v>
      </c>
      <c r="G220" s="184">
        <v>14986.66</v>
      </c>
      <c r="H220" s="184">
        <v>17392.14</v>
      </c>
      <c r="I220" s="184">
        <v>15955.78</v>
      </c>
      <c r="J220" s="184">
        <v>17378.169999999998</v>
      </c>
      <c r="K220" s="184">
        <v>11694.34</v>
      </c>
      <c r="L220" s="184">
        <v>14443.35</v>
      </c>
      <c r="M220" s="184">
        <v>13642.66</v>
      </c>
      <c r="N220" s="184">
        <v>10199.959999999999</v>
      </c>
      <c r="O220" s="184">
        <v>10282.040000000001</v>
      </c>
      <c r="P220" s="184">
        <v>9531.67</v>
      </c>
      <c r="Q220" s="184">
        <v>9413.3799999999992</v>
      </c>
      <c r="R220" s="184">
        <v>8483.36</v>
      </c>
    </row>
    <row r="221" spans="4:29" x14ac:dyDescent="0.2">
      <c r="F221" s="172" t="s">
        <v>291</v>
      </c>
      <c r="G221" s="169">
        <f>G220*G243</f>
        <v>16061.203522000002</v>
      </c>
      <c r="H221" s="169">
        <f>H220*H243</f>
        <v>18696.550499999998</v>
      </c>
      <c r="I221" s="169">
        <f>I220*I243</f>
        <v>17179.588326000001</v>
      </c>
      <c r="J221" s="169">
        <f t="shared" ref="J221:N221" si="5">J220*J243</f>
        <v>18754.521063999997</v>
      </c>
      <c r="K221" s="169">
        <f>K220*K243</f>
        <v>12636.903804</v>
      </c>
      <c r="L221" s="169">
        <f>L220*L243</f>
        <v>15572.81997</v>
      </c>
      <c r="M221" s="169">
        <f>M220*M243</f>
        <v>14720.430139999999</v>
      </c>
      <c r="N221" s="169">
        <f t="shared" si="5"/>
        <v>11000.656859999999</v>
      </c>
      <c r="O221" s="169">
        <f>O220*O243</f>
        <v>11096.377568</v>
      </c>
      <c r="P221" s="169">
        <f>P220*P243</f>
        <v>10303.735269999999</v>
      </c>
      <c r="Q221" s="169">
        <f t="shared" ref="Q221" si="6">Q220*Q243</f>
        <v>10175.863779999998</v>
      </c>
      <c r="R221" s="169">
        <f>R220*R243</f>
        <v>9102.6452800000006</v>
      </c>
      <c r="S221" s="37">
        <f>SUM(G221:R221)</f>
        <v>165301.296084</v>
      </c>
    </row>
    <row r="222" spans="4:29" x14ac:dyDescent="0.2">
      <c r="F222" s="172" t="s">
        <v>292</v>
      </c>
      <c r="G222" s="184">
        <f>G220*0.053</f>
        <v>794.29297999999994</v>
      </c>
      <c r="H222" s="184">
        <f>H220*0.053</f>
        <v>921.78341999999998</v>
      </c>
      <c r="I222" s="184">
        <f t="shared" ref="I222:O222" si="7">I220*0.053</f>
        <v>845.65634</v>
      </c>
      <c r="J222" s="184">
        <f t="shared" si="7"/>
        <v>921.04300999999987</v>
      </c>
      <c r="K222" s="184">
        <f t="shared" si="7"/>
        <v>619.80002000000002</v>
      </c>
      <c r="L222" s="184">
        <f t="shared" si="7"/>
        <v>765.49755000000005</v>
      </c>
      <c r="M222" s="184">
        <f t="shared" si="7"/>
        <v>723.06097999999997</v>
      </c>
      <c r="N222" s="184">
        <f t="shared" si="7"/>
        <v>540.59787999999992</v>
      </c>
      <c r="O222" s="184">
        <f t="shared" si="7"/>
        <v>544.94812000000002</v>
      </c>
      <c r="P222" s="184">
        <f>P220*0.053</f>
        <v>505.17851000000002</v>
      </c>
      <c r="Q222" s="184">
        <f>Q220*0.053</f>
        <v>498.90913999999992</v>
      </c>
      <c r="R222" s="184">
        <f>R220*0.053</f>
        <v>449.61808000000002</v>
      </c>
    </row>
    <row r="223" spans="4:29" x14ac:dyDescent="0.2">
      <c r="F223" s="172" t="s">
        <v>293</v>
      </c>
      <c r="G223" s="169">
        <f t="shared" ref="G223:Q223" si="8">G221-G222-G220</f>
        <v>280.25054200000159</v>
      </c>
      <c r="H223" s="169">
        <f t="shared" si="8"/>
        <v>382.62707999999839</v>
      </c>
      <c r="I223" s="169">
        <f t="shared" si="8"/>
        <v>378.15198600000076</v>
      </c>
      <c r="J223" s="169">
        <f t="shared" si="8"/>
        <v>455.30805399999736</v>
      </c>
      <c r="K223" s="169">
        <f t="shared" si="8"/>
        <v>322.76378399999885</v>
      </c>
      <c r="L223" s="169">
        <f t="shared" si="8"/>
        <v>363.97242000000006</v>
      </c>
      <c r="M223" s="169">
        <f t="shared" si="8"/>
        <v>354.70915999999852</v>
      </c>
      <c r="N223" s="169">
        <f>N221-N222-N220</f>
        <v>260.09898000000067</v>
      </c>
      <c r="O223" s="169">
        <f t="shared" si="8"/>
        <v>269.38944799999808</v>
      </c>
      <c r="P223" s="169">
        <f t="shared" si="8"/>
        <v>266.88675999999941</v>
      </c>
      <c r="Q223" s="169">
        <f t="shared" si="8"/>
        <v>263.57463999999891</v>
      </c>
      <c r="R223" s="169">
        <f t="shared" ref="R223" si="9">R221-R222-R220</f>
        <v>169.66719999999987</v>
      </c>
    </row>
    <row r="224" spans="4:29" x14ac:dyDescent="0.2">
      <c r="F224" s="172" t="s">
        <v>294</v>
      </c>
      <c r="G224" s="170">
        <f t="shared" ref="G224:Q224" si="10">IF(G$220&gt;0,(G221/G$220)," ")</f>
        <v>1.0717000000000001</v>
      </c>
      <c r="H224" s="170">
        <f t="shared" si="10"/>
        <v>1.075</v>
      </c>
      <c r="I224" s="170">
        <f t="shared" si="10"/>
        <v>1.0767</v>
      </c>
      <c r="J224" s="170">
        <f t="shared" si="10"/>
        <v>1.0791999999999999</v>
      </c>
      <c r="K224" s="170">
        <f t="shared" si="10"/>
        <v>1.0806</v>
      </c>
      <c r="L224" s="170">
        <f t="shared" si="10"/>
        <v>1.0782</v>
      </c>
      <c r="M224" s="170">
        <f t="shared" si="10"/>
        <v>1.079</v>
      </c>
      <c r="N224" s="170">
        <f t="shared" si="10"/>
        <v>1.0785</v>
      </c>
      <c r="O224" s="170">
        <f t="shared" si="10"/>
        <v>1.0791999999999999</v>
      </c>
      <c r="P224" s="170">
        <f>IF(P$220&gt;0,(P221/P$220)," ")</f>
        <v>1.081</v>
      </c>
      <c r="Q224" s="170">
        <f t="shared" si="10"/>
        <v>1.081</v>
      </c>
      <c r="R224" s="170">
        <f>IF(R$220&gt;0,(R221/R$220)," ")</f>
        <v>1.073</v>
      </c>
    </row>
    <row r="225" spans="6:19" x14ac:dyDescent="0.2">
      <c r="F225" s="172" t="s">
        <v>295</v>
      </c>
      <c r="G225" s="170">
        <f t="shared" ref="G225:Q225" si="11">IF(G$220&gt;0,(G222/G$220)," ")</f>
        <v>5.2999999999999999E-2</v>
      </c>
      <c r="H225" s="170">
        <f t="shared" si="11"/>
        <v>5.2999999999999999E-2</v>
      </c>
      <c r="I225" s="170">
        <f t="shared" si="11"/>
        <v>5.2999999999999999E-2</v>
      </c>
      <c r="J225" s="170">
        <f t="shared" si="11"/>
        <v>5.2999999999999999E-2</v>
      </c>
      <c r="K225" s="170">
        <f t="shared" si="11"/>
        <v>5.2999999999999999E-2</v>
      </c>
      <c r="L225" s="170">
        <f t="shared" si="11"/>
        <v>5.2999999999999999E-2</v>
      </c>
      <c r="M225" s="170">
        <f t="shared" si="11"/>
        <v>5.2999999999999999E-2</v>
      </c>
      <c r="N225" s="170">
        <f t="shared" si="11"/>
        <v>5.2999999999999999E-2</v>
      </c>
      <c r="O225" s="170">
        <f t="shared" si="11"/>
        <v>5.2999999999999999E-2</v>
      </c>
      <c r="P225" s="170">
        <f t="shared" si="11"/>
        <v>5.2999999999999999E-2</v>
      </c>
      <c r="Q225" s="170">
        <f t="shared" si="11"/>
        <v>5.2999999999999999E-2</v>
      </c>
      <c r="R225" s="170">
        <f t="shared" ref="R225" si="12">IF(R$220&gt;0,(R222/R$220)," ")</f>
        <v>5.2999999999999999E-2</v>
      </c>
    </row>
    <row r="226" spans="6:19" ht="13.5" thickBot="1" x14ac:dyDescent="0.25">
      <c r="F226" s="172" t="s">
        <v>296</v>
      </c>
      <c r="G226" s="170">
        <f t="shared" ref="G226:Q226" si="13">IF(G$220&gt;0,(G223/G$220)," ")</f>
        <v>1.8700000000000105E-2</v>
      </c>
      <c r="H226" s="170">
        <f t="shared" si="13"/>
        <v>2.1999999999999909E-2</v>
      </c>
      <c r="I226" s="170">
        <f t="shared" si="13"/>
        <v>2.3700000000000047E-2</v>
      </c>
      <c r="J226" s="170">
        <f t="shared" si="13"/>
        <v>2.6199999999999852E-2</v>
      </c>
      <c r="K226" s="170">
        <f t="shared" si="13"/>
        <v>2.7599999999999902E-2</v>
      </c>
      <c r="L226" s="170">
        <f t="shared" si="13"/>
        <v>2.5200000000000004E-2</v>
      </c>
      <c r="M226" s="170">
        <f t="shared" si="13"/>
        <v>2.5999999999999891E-2</v>
      </c>
      <c r="N226" s="170">
        <f t="shared" si="13"/>
        <v>2.5500000000000068E-2</v>
      </c>
      <c r="O226" s="170">
        <f t="shared" si="13"/>
        <v>2.619999999999981E-2</v>
      </c>
      <c r="P226" s="170">
        <f t="shared" si="13"/>
        <v>2.7999999999999938E-2</v>
      </c>
      <c r="Q226" s="170">
        <f t="shared" si="13"/>
        <v>2.7999999999999886E-2</v>
      </c>
      <c r="R226" s="170">
        <f t="shared" ref="R226" si="14">IF(R$220&gt;0,(R223/R$220)," ")</f>
        <v>1.9999999999999983E-2</v>
      </c>
    </row>
    <row r="227" spans="6:19" ht="13.5" thickBot="1" x14ac:dyDescent="0.25">
      <c r="F227" s="173" t="s">
        <v>297</v>
      </c>
      <c r="G227" s="168">
        <f>IF(G220&gt;0,(((G218*G224)-(G222/G220)*G219)-G218),0)</f>
        <v>20.66372100000001</v>
      </c>
      <c r="H227" s="168">
        <f t="shared" ref="H227:Q227" si="15">IF(H220&gt;0,(((H218*H224)-(H222/H220)*H219)-H218),0)</f>
        <v>21.435249999999996</v>
      </c>
      <c r="I227" s="168">
        <f t="shared" si="15"/>
        <v>22.943169000000012</v>
      </c>
      <c r="J227" s="168">
        <f t="shared" si="15"/>
        <v>25.912056000000007</v>
      </c>
      <c r="K227" s="168">
        <f t="shared" si="15"/>
        <v>27.356407999999988</v>
      </c>
      <c r="L227" s="168">
        <f t="shared" si="15"/>
        <v>29.369085791329212</v>
      </c>
      <c r="M227" s="168">
        <f t="shared" si="15"/>
        <v>28.166019999999889</v>
      </c>
      <c r="N227" s="168">
        <f t="shared" si="15"/>
        <v>27.761165000000005</v>
      </c>
      <c r="O227" s="168">
        <f t="shared" si="15"/>
        <v>28.107463999999936</v>
      </c>
      <c r="P227" s="168">
        <f>IF(P220&gt;0,(((P218*P224)-(P222/P220)*P219)-P218),0)</f>
        <v>29.437290000000075</v>
      </c>
      <c r="Q227" s="168">
        <f t="shared" si="15"/>
        <v>26.262761021569645</v>
      </c>
      <c r="R227" s="168">
        <f t="shared" ref="R227" si="16">IF(R220&gt;0,(((R218*R224)-(R222/R220)*R219)-R218),0)</f>
        <v>20.761400117349638</v>
      </c>
    </row>
    <row r="228" spans="6:19" x14ac:dyDescent="0.2">
      <c r="F228" s="174" t="s">
        <v>298</v>
      </c>
      <c r="G228" s="165"/>
      <c r="H228" s="165"/>
      <c r="I228" s="165"/>
      <c r="J228" s="165"/>
      <c r="K228" s="165"/>
      <c r="L228" s="165"/>
      <c r="M228" s="165"/>
      <c r="N228" s="165"/>
      <c r="O228" s="165"/>
      <c r="P228" s="165"/>
      <c r="Q228" s="165"/>
      <c r="R228" s="165"/>
    </row>
    <row r="229" spans="6:19" x14ac:dyDescent="0.2">
      <c r="F229" s="172" t="s">
        <v>299</v>
      </c>
      <c r="G229" s="169">
        <f t="shared" ref="G229:R229" si="17">IF(G220&gt;0,G220*G227,0)</f>
        <v>309680.16096186015</v>
      </c>
      <c r="H229" s="169">
        <f t="shared" si="17"/>
        <v>372804.86893499992</v>
      </c>
      <c r="I229" s="169">
        <f t="shared" si="17"/>
        <v>366076.15706682019</v>
      </c>
      <c r="J229" s="169">
        <f t="shared" si="17"/>
        <v>450304.11421752005</v>
      </c>
      <c r="K229" s="169">
        <f t="shared" si="17"/>
        <v>319915.13633071986</v>
      </c>
      <c r="L229" s="169">
        <f t="shared" si="17"/>
        <v>424187.98526419478</v>
      </c>
      <c r="M229" s="169">
        <f t="shared" si="17"/>
        <v>384259.4344131985</v>
      </c>
      <c r="N229" s="169">
        <f t="shared" si="17"/>
        <v>283162.77255340002</v>
      </c>
      <c r="O229" s="169">
        <f t="shared" si="17"/>
        <v>289002.06914655934</v>
      </c>
      <c r="P229" s="169">
        <f>IF(P220&gt;0,P220*P227,0)</f>
        <v>280586.53397430072</v>
      </c>
      <c r="Q229" s="169">
        <f t="shared" si="17"/>
        <v>247221.34934522325</v>
      </c>
      <c r="R229" s="169">
        <f t="shared" si="17"/>
        <v>176126.43129951923</v>
      </c>
    </row>
    <row r="230" spans="6:19" x14ac:dyDescent="0.2">
      <c r="F230" s="172" t="s">
        <v>300</v>
      </c>
      <c r="G230" s="169">
        <f>G229</f>
        <v>309680.16096186015</v>
      </c>
      <c r="H230" s="169">
        <f t="shared" ref="H230" si="18">G230+H229</f>
        <v>682485.02989686001</v>
      </c>
      <c r="I230" s="169">
        <f t="shared" ref="I230" si="19">H230+I229</f>
        <v>1048561.1869636802</v>
      </c>
      <c r="J230" s="169">
        <f t="shared" ref="J230" si="20">I230+J229</f>
        <v>1498865.3011812002</v>
      </c>
      <c r="K230" s="169">
        <f t="shared" ref="K230" si="21">J230+K229</f>
        <v>1818780.43751192</v>
      </c>
      <c r="L230" s="169">
        <f t="shared" ref="L230" si="22">K230+L229</f>
        <v>2242968.4227761147</v>
      </c>
      <c r="M230" s="169">
        <f t="shared" ref="M230" si="23">L230+M229</f>
        <v>2627227.857189313</v>
      </c>
      <c r="N230" s="169">
        <f t="shared" ref="N230" si="24">M230+N229</f>
        <v>2910390.6297427132</v>
      </c>
      <c r="O230" s="169">
        <f t="shared" ref="O230" si="25">N230+O229</f>
        <v>3199392.6988892723</v>
      </c>
      <c r="P230" s="169">
        <f t="shared" ref="P230" si="26">O230+P229</f>
        <v>3479979.2328635729</v>
      </c>
      <c r="Q230" s="169">
        <f t="shared" ref="Q230" si="27">P230+Q229</f>
        <v>3727200.5822087959</v>
      </c>
      <c r="R230" s="169">
        <f t="shared" ref="R230" si="28">Q230+R229</f>
        <v>3903327.0135083152</v>
      </c>
    </row>
    <row r="231" spans="6:19" ht="13.5" thickBot="1" x14ac:dyDescent="0.25">
      <c r="F231" s="172" t="s">
        <v>301</v>
      </c>
      <c r="G231" s="169">
        <f>G220</f>
        <v>14986.66</v>
      </c>
      <c r="H231" s="169">
        <f t="shared" ref="H231" si="29">G231+H220</f>
        <v>32378.799999999999</v>
      </c>
      <c r="I231" s="169">
        <f t="shared" ref="I231" si="30">H231+I220</f>
        <v>48334.58</v>
      </c>
      <c r="J231" s="169">
        <f t="shared" ref="J231" si="31">I231+J220</f>
        <v>65712.75</v>
      </c>
      <c r="K231" s="169">
        <f t="shared" ref="K231" si="32">J231+K220</f>
        <v>77407.09</v>
      </c>
      <c r="L231" s="169">
        <f t="shared" ref="L231" si="33">K231+L220</f>
        <v>91850.44</v>
      </c>
      <c r="M231" s="169">
        <f t="shared" ref="M231" si="34">L231+M220</f>
        <v>105493.1</v>
      </c>
      <c r="N231" s="169">
        <f t="shared" ref="N231" si="35">M231+N220</f>
        <v>115693.06</v>
      </c>
      <c r="O231" s="169">
        <f t="shared" ref="O231" si="36">N231+O220</f>
        <v>125975.1</v>
      </c>
      <c r="P231" s="169">
        <f t="shared" ref="P231" si="37">O231+P220</f>
        <v>135506.77000000002</v>
      </c>
      <c r="Q231" s="169">
        <f t="shared" ref="Q231" si="38">P231+Q220</f>
        <v>144920.15000000002</v>
      </c>
      <c r="R231" s="169">
        <f t="shared" ref="R231" si="39">Q231+R220</f>
        <v>153403.51</v>
      </c>
    </row>
    <row r="232" spans="6:19" ht="13.5" thickBot="1" x14ac:dyDescent="0.25">
      <c r="F232" s="173" t="s">
        <v>302</v>
      </c>
      <c r="G232" s="168">
        <f t="shared" ref="G232:R232" si="40">IF(G229&gt;0,G230/G231,0)</f>
        <v>20.66372100000001</v>
      </c>
      <c r="H232" s="168">
        <f t="shared" si="40"/>
        <v>21.078144647017801</v>
      </c>
      <c r="I232" s="168">
        <f>IF(I229&gt;0,I230/I231,0)</f>
        <v>21.693809834774196</v>
      </c>
      <c r="J232" s="168">
        <f>IF(J229&gt;0,J230/J231,0)</f>
        <v>22.809352845242366</v>
      </c>
      <c r="K232" s="168">
        <f t="shared" si="40"/>
        <v>23.496302955090034</v>
      </c>
      <c r="L232" s="168">
        <f t="shared" si="40"/>
        <v>24.419789636022589</v>
      </c>
      <c r="M232" s="168">
        <f t="shared" si="40"/>
        <v>24.90426252702132</v>
      </c>
      <c r="N232" s="168">
        <f t="shared" si="40"/>
        <v>25.156138404003777</v>
      </c>
      <c r="O232" s="168">
        <f t="shared" si="40"/>
        <v>25.397024482530849</v>
      </c>
      <c r="P232" s="168">
        <f t="shared" si="40"/>
        <v>25.6812204501928</v>
      </c>
      <c r="Q232" s="168">
        <f t="shared" si="40"/>
        <v>25.718994785809947</v>
      </c>
      <c r="R232" s="168">
        <f t="shared" si="40"/>
        <v>25.444835085639923</v>
      </c>
    </row>
    <row r="233" spans="6:19" x14ac:dyDescent="0.2">
      <c r="F233" s="174" t="s">
        <v>777</v>
      </c>
      <c r="G233" s="165"/>
      <c r="H233" s="165"/>
      <c r="I233" s="165"/>
      <c r="J233" s="165"/>
      <c r="K233" s="165"/>
      <c r="L233" s="165"/>
      <c r="M233" s="165"/>
      <c r="N233" s="165"/>
      <c r="O233" s="165"/>
      <c r="P233" s="165"/>
      <c r="Q233" s="165"/>
      <c r="R233" s="165"/>
    </row>
    <row r="234" spans="6:19" x14ac:dyDescent="0.2">
      <c r="F234" s="175" t="s">
        <v>289</v>
      </c>
      <c r="G234" s="183">
        <v>1032</v>
      </c>
      <c r="H234" s="183">
        <v>1308.2</v>
      </c>
      <c r="I234" s="183">
        <v>1168.3800000000001</v>
      </c>
      <c r="J234" s="183">
        <v>1296.2</v>
      </c>
      <c r="K234" s="183">
        <v>904.38</v>
      </c>
      <c r="L234" s="183">
        <v>1067.7</v>
      </c>
      <c r="M234" s="183">
        <v>1107.72</v>
      </c>
      <c r="N234" s="183">
        <v>789.2</v>
      </c>
      <c r="O234" s="183">
        <v>802.06</v>
      </c>
      <c r="P234" s="183">
        <v>863.36599999999999</v>
      </c>
      <c r="Q234" s="183">
        <v>649.84</v>
      </c>
      <c r="R234" s="183">
        <v>181.631</v>
      </c>
      <c r="S234" s="43">
        <f>SUM(G234:R234)</f>
        <v>11170.677</v>
      </c>
    </row>
    <row r="235" spans="6:19" x14ac:dyDescent="0.2">
      <c r="F235" s="175" t="s">
        <v>165</v>
      </c>
      <c r="G235" s="183">
        <v>0</v>
      </c>
      <c r="H235" s="183"/>
      <c r="I235" s="183">
        <v>19.72</v>
      </c>
      <c r="J235" s="183">
        <v>3.42</v>
      </c>
      <c r="K235" s="183">
        <v>14.18</v>
      </c>
      <c r="L235" s="183"/>
      <c r="M235" s="183">
        <f>0.89+8.4+11.8</f>
        <v>21.090000000000003</v>
      </c>
      <c r="N235" s="183">
        <v>38.72</v>
      </c>
      <c r="O235" s="183">
        <v>9.9600000000000009</v>
      </c>
      <c r="P235" s="183">
        <v>6.85</v>
      </c>
      <c r="Q235" s="183">
        <v>8.24</v>
      </c>
      <c r="R235" s="183"/>
      <c r="S235" s="43">
        <f t="shared" ref="S235:S236" si="41">SUM(G235:R235)</f>
        <v>122.17999999999999</v>
      </c>
    </row>
    <row r="236" spans="6:19" ht="13.5" thickBot="1" x14ac:dyDescent="0.25">
      <c r="F236" s="175" t="s">
        <v>166</v>
      </c>
      <c r="G236" s="183">
        <v>293.27999999999997</v>
      </c>
      <c r="H236" s="183">
        <v>292.36</v>
      </c>
      <c r="I236" s="183">
        <v>322.16000000000003</v>
      </c>
      <c r="J236" s="183">
        <v>417.66</v>
      </c>
      <c r="K236" s="183">
        <v>335.58</v>
      </c>
      <c r="L236" s="183">
        <v>254.9</v>
      </c>
      <c r="M236" s="183">
        <v>358.28</v>
      </c>
      <c r="N236" s="183">
        <v>261.92</v>
      </c>
      <c r="O236" s="183">
        <v>294.88</v>
      </c>
      <c r="P236" s="183">
        <v>289.95999999999998</v>
      </c>
      <c r="Q236" s="183">
        <v>217.08</v>
      </c>
      <c r="R236" s="183">
        <v>3.7444000000000002</v>
      </c>
      <c r="S236" s="43">
        <f t="shared" si="41"/>
        <v>3341.8044000000004</v>
      </c>
    </row>
    <row r="237" spans="6:19" ht="13.5" thickBot="1" x14ac:dyDescent="0.25">
      <c r="F237" s="173" t="s">
        <v>13</v>
      </c>
      <c r="G237" s="168">
        <f t="shared" ref="G237:P237" si="42">SUM(G234:G236)</f>
        <v>1325.28</v>
      </c>
      <c r="H237" s="168">
        <f t="shared" si="42"/>
        <v>1600.56</v>
      </c>
      <c r="I237" s="168">
        <f t="shared" si="42"/>
        <v>1510.2600000000002</v>
      </c>
      <c r="J237" s="168">
        <f t="shared" si="42"/>
        <v>1717.2800000000002</v>
      </c>
      <c r="K237" s="168">
        <f t="shared" si="42"/>
        <v>1254.1399999999999</v>
      </c>
      <c r="L237" s="168">
        <f t="shared" si="42"/>
        <v>1322.6000000000001</v>
      </c>
      <c r="M237" s="168">
        <f t="shared" si="42"/>
        <v>1487.09</v>
      </c>
      <c r="N237" s="168">
        <f t="shared" si="42"/>
        <v>1089.8400000000001</v>
      </c>
      <c r="O237" s="168">
        <f t="shared" si="42"/>
        <v>1106.9000000000001</v>
      </c>
      <c r="P237" s="168">
        <f t="shared" si="42"/>
        <v>1160.1759999999999</v>
      </c>
      <c r="Q237" s="168">
        <f>SUM(Q234:Q236)</f>
        <v>875.16000000000008</v>
      </c>
      <c r="R237" s="168">
        <f>SUM(R234:R236)</f>
        <v>185.37540000000001</v>
      </c>
      <c r="S237" s="168">
        <f t="shared" ref="S237" si="43">SUM(S234:S236)</f>
        <v>14634.661400000001</v>
      </c>
    </row>
    <row r="238" spans="6:19" ht="13.5" thickBot="1" x14ac:dyDescent="0.25">
      <c r="F238" s="173" t="s">
        <v>302</v>
      </c>
      <c r="G238" s="168">
        <f>G237</f>
        <v>1325.28</v>
      </c>
      <c r="H238" s="168">
        <f t="shared" ref="H238" si="44">G238+H237</f>
        <v>2925.84</v>
      </c>
      <c r="I238" s="168">
        <f t="shared" ref="I238" si="45">H238+I237</f>
        <v>4436.1000000000004</v>
      </c>
      <c r="J238" s="168">
        <f t="shared" ref="J238" si="46">I238+J237</f>
        <v>6153.380000000001</v>
      </c>
      <c r="K238" s="168">
        <f>J238+K237</f>
        <v>7407.52</v>
      </c>
      <c r="L238" s="168">
        <f t="shared" ref="L238" si="47">K238+L237</f>
        <v>8730.1200000000008</v>
      </c>
      <c r="M238" s="168">
        <f t="shared" ref="M238" si="48">L238+M237</f>
        <v>10217.210000000001</v>
      </c>
      <c r="N238" s="168">
        <f t="shared" ref="N238" si="49">M238+N237</f>
        <v>11307.050000000001</v>
      </c>
      <c r="O238" s="168">
        <f t="shared" ref="O238" si="50">N238+O237</f>
        <v>12413.95</v>
      </c>
      <c r="P238" s="168">
        <f t="shared" ref="P238" si="51">O238+P237</f>
        <v>13574.126</v>
      </c>
      <c r="Q238" s="168">
        <f t="shared" ref="Q238" si="52">P238+Q237</f>
        <v>14449.286</v>
      </c>
      <c r="R238" s="168">
        <f t="shared" ref="R238" si="53">Q238+R237</f>
        <v>14634.661400000001</v>
      </c>
    </row>
    <row r="240" spans="6:19" x14ac:dyDescent="0.2">
      <c r="G240" s="194">
        <f>G234/G237</f>
        <v>0.77870336834480258</v>
      </c>
      <c r="H240" s="194">
        <f t="shared" ref="H240:O240" si="54">H234/H237</f>
        <v>0.81733893137401914</v>
      </c>
      <c r="I240" s="194">
        <f>I234/I237</f>
        <v>0.77362838186802263</v>
      </c>
      <c r="J240" s="194">
        <f t="shared" si="54"/>
        <v>0.75479828566104534</v>
      </c>
      <c r="K240" s="194">
        <f t="shared" si="54"/>
        <v>0.72111566491779233</v>
      </c>
      <c r="L240" s="194">
        <f t="shared" si="54"/>
        <v>0.80727355209435958</v>
      </c>
      <c r="M240" s="194">
        <f t="shared" si="54"/>
        <v>0.74489102878776681</v>
      </c>
      <c r="N240" s="194">
        <f t="shared" si="54"/>
        <v>0.7241429934669309</v>
      </c>
      <c r="O240" s="194">
        <f t="shared" si="54"/>
        <v>0.72460023489023384</v>
      </c>
      <c r="P240" s="194">
        <f t="shared" ref="P240:Q240" si="55">P234/P237</f>
        <v>0.7441681262153329</v>
      </c>
      <c r="Q240" s="194">
        <f t="shared" si="55"/>
        <v>0.74253850724438952</v>
      </c>
      <c r="R240" s="194">
        <f>R234/R237</f>
        <v>0.97980098761755863</v>
      </c>
      <c r="S240" s="194">
        <f t="shared" ref="S240" si="56">S234/S237</f>
        <v>0.76330273005154725</v>
      </c>
    </row>
    <row r="241" spans="6:19" x14ac:dyDescent="0.2">
      <c r="G241" s="194">
        <f>G236/G237</f>
        <v>0.22129663165519739</v>
      </c>
      <c r="H241" s="194">
        <f t="shared" ref="H241:O241" si="57">H236/H237</f>
        <v>0.18266106862598092</v>
      </c>
      <c r="I241" s="194">
        <f t="shared" si="57"/>
        <v>0.21331426376915233</v>
      </c>
      <c r="J241" s="194">
        <f t="shared" si="57"/>
        <v>0.24321019286313239</v>
      </c>
      <c r="K241" s="194">
        <f t="shared" si="57"/>
        <v>0.26757778238474172</v>
      </c>
      <c r="L241" s="194">
        <f t="shared" si="57"/>
        <v>0.19272644790564039</v>
      </c>
      <c r="M241" s="194">
        <f t="shared" si="57"/>
        <v>0.24092691094688284</v>
      </c>
      <c r="N241" s="194">
        <f t="shared" si="57"/>
        <v>0.24032885561183293</v>
      </c>
      <c r="O241" s="194">
        <f t="shared" si="57"/>
        <v>0.26640166230011741</v>
      </c>
      <c r="P241" s="194">
        <f t="shared" ref="P241:Q241" si="58">P236/P237</f>
        <v>0.24992759719215016</v>
      </c>
      <c r="Q241" s="194">
        <f t="shared" si="58"/>
        <v>0.24804607157548333</v>
      </c>
      <c r="R241" s="194">
        <f t="shared" ref="R241" si="59">R236/R237</f>
        <v>2.0199012382441251E-2</v>
      </c>
      <c r="S241" s="194">
        <f t="shared" ref="S241" si="60">S236/S237</f>
        <v>0.22834859711889202</v>
      </c>
    </row>
    <row r="243" spans="6:19" x14ac:dyDescent="0.2">
      <c r="F243" s="223" t="s">
        <v>741</v>
      </c>
      <c r="G243" s="236">
        <v>1.0717000000000001</v>
      </c>
      <c r="H243" s="236">
        <v>1.075</v>
      </c>
      <c r="I243" s="236">
        <v>1.0767</v>
      </c>
      <c r="J243" s="236">
        <v>1.0791999999999999</v>
      </c>
      <c r="K243" s="236">
        <v>1.0806</v>
      </c>
      <c r="L243" s="236">
        <v>1.0782</v>
      </c>
      <c r="M243" s="236">
        <v>1.079</v>
      </c>
      <c r="N243" s="239">
        <v>1.0785</v>
      </c>
      <c r="O243" s="239">
        <v>1.0791999999999999</v>
      </c>
      <c r="P243" s="239">
        <v>1.081</v>
      </c>
      <c r="Q243" s="239">
        <v>1.081</v>
      </c>
      <c r="R243" s="239">
        <v>1.073</v>
      </c>
    </row>
    <row r="244" spans="6:19" x14ac:dyDescent="0.2">
      <c r="G244" s="224">
        <f>G222/G220</f>
        <v>5.2999999999999999E-2</v>
      </c>
      <c r="H244" s="224">
        <f>H222/H220</f>
        <v>5.2999999999999999E-2</v>
      </c>
      <c r="I244" s="224">
        <f t="shared" ref="I244:R244" si="61">I222/I220</f>
        <v>5.2999999999999999E-2</v>
      </c>
      <c r="J244" s="224">
        <f t="shared" si="61"/>
        <v>5.2999999999999999E-2</v>
      </c>
      <c r="K244" s="224">
        <f t="shared" si="61"/>
        <v>5.2999999999999999E-2</v>
      </c>
      <c r="L244" s="224">
        <f t="shared" si="61"/>
        <v>5.2999999999999999E-2</v>
      </c>
      <c r="M244" s="224">
        <f t="shared" si="61"/>
        <v>5.2999999999999999E-2</v>
      </c>
      <c r="N244" s="224">
        <f t="shared" si="61"/>
        <v>5.2999999999999999E-2</v>
      </c>
      <c r="O244" s="224">
        <f t="shared" si="61"/>
        <v>5.2999999999999999E-2</v>
      </c>
      <c r="P244" s="224">
        <f t="shared" si="61"/>
        <v>5.2999999999999999E-2</v>
      </c>
      <c r="Q244" s="224">
        <f t="shared" si="61"/>
        <v>5.2999999999999999E-2</v>
      </c>
      <c r="R244" s="224">
        <f t="shared" si="61"/>
        <v>5.2999999999999999E-2</v>
      </c>
      <c r="S244" s="43"/>
    </row>
  </sheetData>
  <mergeCells count="1">
    <mergeCell ref="A23:C23"/>
  </mergeCells>
  <dataValidations disablePrompts="1" count="2">
    <dataValidation type="list" allowBlank="1" showInputMessage="1" showErrorMessage="1" sqref="B1" xr:uid="{00000000-0002-0000-0200-000001000000}">
      <formula1>$A$25:$A$27</formula1>
    </dataValidation>
    <dataValidation type="list" allowBlank="1" showInputMessage="1" sqref="B5 B3" xr:uid="{00000000-0002-0000-0200-000000000000}">
      <formula1>$B$25:$B$36</formula1>
    </dataValidation>
  </dataValidations>
  <printOptions headings="1" gridLines="1"/>
  <pageMargins left="0.70866141732283472" right="0.70866141732283472" top="0.74803149606299213" bottom="0.74803149606299213" header="0.31496062992125984" footer="0.31496062992125984"/>
  <pageSetup paperSize="9" scale="96" fitToHeight="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0AB9-BE98-4B89-8AAB-A4D3B755C817}">
  <dimension ref="A3:B9"/>
  <sheetViews>
    <sheetView workbookViewId="0"/>
  </sheetViews>
  <sheetFormatPr defaultRowHeight="15" x14ac:dyDescent="0.3"/>
  <cols>
    <col min="1" max="1" width="19.125" bestFit="1" customWidth="1"/>
    <col min="2" max="2" width="14.25" bestFit="1" customWidth="1"/>
  </cols>
  <sheetData>
    <row r="3" spans="1:2" x14ac:dyDescent="0.3">
      <c r="A3" s="258" t="s">
        <v>941</v>
      </c>
      <c r="B3" t="s">
        <v>940</v>
      </c>
    </row>
    <row r="4" spans="1:2" x14ac:dyDescent="0.3">
      <c r="A4" s="259" t="s">
        <v>955</v>
      </c>
      <c r="B4" s="240">
        <v>8635459.7799999937</v>
      </c>
    </row>
    <row r="5" spans="1:2" x14ac:dyDescent="0.3">
      <c r="A5" s="259" t="s">
        <v>967</v>
      </c>
      <c r="B5" s="240">
        <v>130235456.77</v>
      </c>
    </row>
    <row r="6" spans="1:2" x14ac:dyDescent="0.3">
      <c r="A6" s="259" t="s">
        <v>969</v>
      </c>
      <c r="B6" s="240">
        <v>-73943410.419999972</v>
      </c>
    </row>
    <row r="7" spans="1:2" x14ac:dyDescent="0.3">
      <c r="A7" s="259" t="s">
        <v>965</v>
      </c>
      <c r="B7" s="240">
        <v>-66532327.480000079</v>
      </c>
    </row>
    <row r="8" spans="1:2" x14ac:dyDescent="0.3">
      <c r="A8" s="259" t="s">
        <v>942</v>
      </c>
      <c r="B8" s="240">
        <v>694972.08000006224</v>
      </c>
    </row>
    <row r="9" spans="1:2" x14ac:dyDescent="0.3">
      <c r="A9" s="259" t="s">
        <v>943</v>
      </c>
      <c r="B9" s="240">
        <v>-909849.27000000631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V295"/>
  <sheetViews>
    <sheetView topLeftCell="A13" zoomScale="75" zoomScaleNormal="75" workbookViewId="0">
      <selection activeCell="C17" sqref="C17"/>
    </sheetView>
  </sheetViews>
  <sheetFormatPr defaultRowHeight="15" x14ac:dyDescent="0.3"/>
  <cols>
    <col min="1" max="1" width="16.875" bestFit="1" customWidth="1"/>
    <col min="2" max="2" width="53.125" customWidth="1"/>
    <col min="3" max="3" width="17.75" style="235" customWidth="1"/>
    <col min="4" max="4" width="14.375" style="235" bestFit="1" customWidth="1"/>
    <col min="5" max="6" width="14.375" style="235" customWidth="1"/>
    <col min="7" max="7" width="14.625" style="235" bestFit="1" customWidth="1"/>
    <col min="8" max="11" width="17.75" style="235" customWidth="1"/>
    <col min="12" max="12" width="16.625" style="297" customWidth="1"/>
    <col min="13" max="14" width="18.75" style="297" customWidth="1"/>
    <col min="15" max="15" width="18.75" style="282" customWidth="1"/>
    <col min="16" max="16" width="17" style="282" bestFit="1" customWidth="1"/>
    <col min="17" max="17" width="39.875" style="282" customWidth="1"/>
    <col min="18" max="18" width="14.75" style="282" customWidth="1"/>
    <col min="19" max="20" width="17.75" style="235" customWidth="1"/>
    <col min="21" max="21" width="23.125" bestFit="1" customWidth="1"/>
    <col min="22" max="22" width="12.5" bestFit="1" customWidth="1"/>
  </cols>
  <sheetData>
    <row r="1" spans="1:22" x14ac:dyDescent="0.3">
      <c r="A1" t="s">
        <v>544</v>
      </c>
      <c r="B1" t="s">
        <v>545</v>
      </c>
      <c r="C1" s="263" t="s">
        <v>114</v>
      </c>
      <c r="D1" s="263" t="s">
        <v>115</v>
      </c>
      <c r="E1" s="263" t="s">
        <v>116</v>
      </c>
      <c r="F1" s="263" t="s">
        <v>117</v>
      </c>
      <c r="G1" s="263" t="s">
        <v>118</v>
      </c>
      <c r="H1" s="263" t="s">
        <v>119</v>
      </c>
      <c r="I1" s="263" t="s">
        <v>120</v>
      </c>
      <c r="J1" s="263" t="s">
        <v>121</v>
      </c>
      <c r="K1" s="263" t="s">
        <v>122</v>
      </c>
      <c r="L1" s="296" t="s">
        <v>123</v>
      </c>
      <c r="M1" s="296" t="s">
        <v>124</v>
      </c>
      <c r="N1" s="296" t="s">
        <v>125</v>
      </c>
      <c r="O1" s="281"/>
      <c r="P1" s="281"/>
      <c r="Q1" s="281" t="s">
        <v>124</v>
      </c>
      <c r="R1" s="281"/>
      <c r="S1" s="263" t="s">
        <v>125</v>
      </c>
      <c r="T1" s="263" t="s">
        <v>966</v>
      </c>
      <c r="U1" s="263" t="s">
        <v>961</v>
      </c>
      <c r="V1" s="263" t="s">
        <v>962</v>
      </c>
    </row>
    <row r="2" spans="1:22" x14ac:dyDescent="0.3">
      <c r="A2" t="s">
        <v>306</v>
      </c>
      <c r="B2" t="s">
        <v>546</v>
      </c>
      <c r="C2" s="235">
        <v>177786.63</v>
      </c>
      <c r="D2" s="263">
        <v>177786.63</v>
      </c>
      <c r="E2" s="263">
        <v>177786.63</v>
      </c>
      <c r="F2" s="235">
        <v>177786.63</v>
      </c>
      <c r="G2" s="235">
        <v>177786.63</v>
      </c>
      <c r="H2" s="235">
        <v>177786.63</v>
      </c>
      <c r="I2" s="235">
        <v>177786.63</v>
      </c>
      <c r="J2" s="235">
        <v>177786.63</v>
      </c>
      <c r="K2" s="235">
        <v>177786.63</v>
      </c>
      <c r="L2" s="297">
        <v>177786.63</v>
      </c>
      <c r="M2" s="297">
        <v>177786.63</v>
      </c>
      <c r="N2" s="297">
        <v>177786.63</v>
      </c>
      <c r="T2" s="235" t="s">
        <v>955</v>
      </c>
      <c r="U2" t="s">
        <v>958</v>
      </c>
      <c r="V2" t="s">
        <v>170</v>
      </c>
    </row>
    <row r="3" spans="1:22" x14ac:dyDescent="0.3">
      <c r="A3" t="s">
        <v>526</v>
      </c>
      <c r="B3" t="s">
        <v>543</v>
      </c>
      <c r="C3" s="235">
        <v>-174764.41</v>
      </c>
      <c r="D3" s="263">
        <v>-174923.47</v>
      </c>
      <c r="E3" s="263">
        <v>-175082.53</v>
      </c>
      <c r="F3" s="235">
        <v>-175241.59</v>
      </c>
      <c r="G3" s="235">
        <v>-175400.66</v>
      </c>
      <c r="H3" s="235">
        <v>-175559.72</v>
      </c>
      <c r="I3" s="235">
        <v>-175718.79</v>
      </c>
      <c r="J3" s="235">
        <v>-175877.85</v>
      </c>
      <c r="K3" s="235">
        <v>-176036.92</v>
      </c>
      <c r="L3" s="297">
        <v>-176195.98</v>
      </c>
      <c r="M3" s="297">
        <v>-176355.05</v>
      </c>
      <c r="N3" s="297">
        <v>-176514.11</v>
      </c>
      <c r="T3" s="235" t="s">
        <v>955</v>
      </c>
      <c r="U3" t="s">
        <v>958</v>
      </c>
      <c r="V3" t="s">
        <v>60</v>
      </c>
    </row>
    <row r="4" spans="1:22" x14ac:dyDescent="0.3">
      <c r="A4" t="s">
        <v>757</v>
      </c>
      <c r="B4" t="s">
        <v>758</v>
      </c>
      <c r="C4" s="235">
        <v>0</v>
      </c>
      <c r="D4" s="263">
        <v>0</v>
      </c>
      <c r="E4" s="263">
        <v>0</v>
      </c>
      <c r="F4" s="235">
        <v>0</v>
      </c>
      <c r="G4" s="235">
        <v>0</v>
      </c>
      <c r="H4" s="235">
        <v>0</v>
      </c>
      <c r="I4" s="235">
        <v>0</v>
      </c>
      <c r="J4" s="235">
        <v>0</v>
      </c>
      <c r="K4" s="235">
        <v>0</v>
      </c>
      <c r="L4" s="297">
        <v>0</v>
      </c>
      <c r="M4" s="297">
        <v>0</v>
      </c>
      <c r="N4" s="297">
        <v>0</v>
      </c>
      <c r="T4" s="235" t="s">
        <v>955</v>
      </c>
      <c r="U4" t="s">
        <v>976</v>
      </c>
      <c r="V4" t="s">
        <v>787</v>
      </c>
    </row>
    <row r="5" spans="1:22" x14ac:dyDescent="0.3">
      <c r="A5" t="s">
        <v>307</v>
      </c>
      <c r="B5" t="s">
        <v>547</v>
      </c>
      <c r="C5" s="235">
        <v>400000</v>
      </c>
      <c r="D5" s="263">
        <v>400000</v>
      </c>
      <c r="E5" s="263">
        <v>400000</v>
      </c>
      <c r="F5" s="235">
        <v>400000</v>
      </c>
      <c r="G5" s="235">
        <v>400000</v>
      </c>
      <c r="H5" s="235">
        <v>400000</v>
      </c>
      <c r="I5" s="235">
        <v>400000</v>
      </c>
      <c r="J5" s="235">
        <v>400000</v>
      </c>
      <c r="K5" s="235">
        <v>400000</v>
      </c>
      <c r="L5" s="297">
        <v>400000</v>
      </c>
      <c r="M5" s="297">
        <v>400000</v>
      </c>
      <c r="N5" s="297">
        <v>400000</v>
      </c>
      <c r="T5" s="235" t="s">
        <v>955</v>
      </c>
      <c r="U5" t="s">
        <v>959</v>
      </c>
      <c r="V5" t="s">
        <v>171</v>
      </c>
    </row>
    <row r="6" spans="1:22" x14ac:dyDescent="0.3">
      <c r="A6" t="s">
        <v>308</v>
      </c>
      <c r="B6" t="s">
        <v>548</v>
      </c>
      <c r="C6" s="235">
        <v>882157.15</v>
      </c>
      <c r="D6" s="263">
        <v>882157.15</v>
      </c>
      <c r="E6" s="263">
        <v>882157.15</v>
      </c>
      <c r="F6" s="235">
        <v>882157.15</v>
      </c>
      <c r="G6" s="235">
        <v>882157.15</v>
      </c>
      <c r="H6" s="235">
        <v>882157.15</v>
      </c>
      <c r="I6" s="235">
        <v>882157.15</v>
      </c>
      <c r="J6" s="235">
        <v>882157.15</v>
      </c>
      <c r="K6" s="235">
        <v>882157.15</v>
      </c>
      <c r="L6" s="297">
        <v>882157.15</v>
      </c>
      <c r="M6" s="297">
        <v>882157.15</v>
      </c>
      <c r="N6" s="297">
        <v>882157.15</v>
      </c>
      <c r="T6" s="235" t="s">
        <v>955</v>
      </c>
      <c r="U6" t="s">
        <v>959</v>
      </c>
      <c r="V6" t="s">
        <v>171</v>
      </c>
    </row>
    <row r="7" spans="1:22" x14ac:dyDescent="0.3">
      <c r="A7" t="s">
        <v>309</v>
      </c>
      <c r="B7" t="s">
        <v>549</v>
      </c>
      <c r="C7" s="235">
        <v>-882157.15</v>
      </c>
      <c r="D7" s="263">
        <v>-882157.15</v>
      </c>
      <c r="E7" s="263">
        <v>-882157.15</v>
      </c>
      <c r="F7" s="235">
        <v>-882157.15</v>
      </c>
      <c r="G7" s="235">
        <v>-882157.15</v>
      </c>
      <c r="H7" s="235">
        <v>-882157.15</v>
      </c>
      <c r="I7" s="235">
        <v>-882157.15</v>
      </c>
      <c r="J7" s="235">
        <v>-882157.15</v>
      </c>
      <c r="K7" s="235">
        <v>-882157.15</v>
      </c>
      <c r="L7" s="297">
        <v>-882157.15</v>
      </c>
      <c r="M7" s="297">
        <v>-882157.15</v>
      </c>
      <c r="N7" s="297">
        <v>-882157.15</v>
      </c>
      <c r="T7" s="235" t="s">
        <v>955</v>
      </c>
      <c r="U7" t="s">
        <v>959</v>
      </c>
      <c r="V7" t="s">
        <v>790</v>
      </c>
    </row>
    <row r="8" spans="1:22" x14ac:dyDescent="0.3">
      <c r="A8" t="s">
        <v>310</v>
      </c>
      <c r="B8" t="s">
        <v>550</v>
      </c>
      <c r="C8" s="235">
        <v>36286315.579999998</v>
      </c>
      <c r="D8" s="263">
        <v>36286315.579999998</v>
      </c>
      <c r="E8" s="263">
        <v>36326053.579999998</v>
      </c>
      <c r="F8" s="235">
        <v>36326053.579999998</v>
      </c>
      <c r="G8" s="235">
        <v>36368591.979999997</v>
      </c>
      <c r="H8" s="235">
        <v>36368591.979999997</v>
      </c>
      <c r="I8" s="235">
        <v>36368591.979999997</v>
      </c>
      <c r="J8" s="235">
        <v>36492330.060000002</v>
      </c>
      <c r="K8" s="235">
        <v>36492330.060000002</v>
      </c>
      <c r="L8" s="297">
        <v>36492330.060000002</v>
      </c>
      <c r="M8" s="297">
        <v>36492330.060000002</v>
      </c>
      <c r="N8" s="297">
        <v>36551130.060000002</v>
      </c>
      <c r="T8" s="235" t="s">
        <v>955</v>
      </c>
      <c r="U8" t="s">
        <v>959</v>
      </c>
      <c r="V8" t="s">
        <v>171</v>
      </c>
    </row>
    <row r="9" spans="1:22" x14ac:dyDescent="0.3">
      <c r="A9" t="s">
        <v>311</v>
      </c>
      <c r="B9" t="s">
        <v>551</v>
      </c>
      <c r="C9" s="235">
        <v>-29065086.27</v>
      </c>
      <c r="D9" s="263">
        <v>-29168767.289999999</v>
      </c>
      <c r="E9" s="263">
        <v>-29272831.879999999</v>
      </c>
      <c r="F9" s="235">
        <v>-29376894.969999999</v>
      </c>
      <c r="G9" s="235">
        <v>-29481249.289999999</v>
      </c>
      <c r="H9" s="235">
        <v>-29585602.07</v>
      </c>
      <c r="I9" s="235">
        <v>-29689956.420000002</v>
      </c>
      <c r="J9" s="235">
        <v>-29794667.16</v>
      </c>
      <c r="K9" s="235">
        <v>-29899379.559999999</v>
      </c>
      <c r="L9" s="297">
        <v>-30004090.300000001</v>
      </c>
      <c r="M9" s="297">
        <v>-30108503.149999999</v>
      </c>
      <c r="N9" s="297">
        <v>-30212574.68</v>
      </c>
      <c r="T9" s="235" t="s">
        <v>955</v>
      </c>
      <c r="U9" t="s">
        <v>959</v>
      </c>
      <c r="V9" t="s">
        <v>171</v>
      </c>
    </row>
    <row r="10" spans="1:22" x14ac:dyDescent="0.3">
      <c r="A10" t="s">
        <v>312</v>
      </c>
      <c r="B10" t="s">
        <v>552</v>
      </c>
      <c r="C10" s="235">
        <v>118442.01</v>
      </c>
      <c r="D10" s="263">
        <v>118442.01</v>
      </c>
      <c r="E10" s="263">
        <v>118442.01</v>
      </c>
      <c r="F10" s="235">
        <v>118442.01</v>
      </c>
      <c r="G10" s="235">
        <v>118442.01</v>
      </c>
      <c r="H10" s="235">
        <v>118442.01</v>
      </c>
      <c r="I10" s="235">
        <v>118442.01</v>
      </c>
      <c r="J10" s="235">
        <v>118442.01</v>
      </c>
      <c r="K10" s="235">
        <v>118442.01</v>
      </c>
      <c r="L10" s="297">
        <v>118442.01</v>
      </c>
      <c r="M10" s="297">
        <v>118442.01</v>
      </c>
      <c r="N10" s="297">
        <v>118442.01</v>
      </c>
      <c r="T10" s="235" t="s">
        <v>955</v>
      </c>
      <c r="U10" t="s">
        <v>959</v>
      </c>
      <c r="V10" t="s">
        <v>793</v>
      </c>
    </row>
    <row r="11" spans="1:22" x14ac:dyDescent="0.3">
      <c r="A11" t="s">
        <v>769</v>
      </c>
      <c r="B11" t="s">
        <v>770</v>
      </c>
      <c r="C11" s="235">
        <v>123756.89</v>
      </c>
      <c r="D11" s="263">
        <v>123756.89</v>
      </c>
      <c r="E11" s="263">
        <v>123756.89</v>
      </c>
      <c r="F11" s="235">
        <v>123756.89</v>
      </c>
      <c r="G11" s="235">
        <v>123756.89</v>
      </c>
      <c r="H11" s="235">
        <v>123756.89</v>
      </c>
      <c r="I11" s="235">
        <v>123756.89</v>
      </c>
      <c r="J11" s="235">
        <v>123756.89</v>
      </c>
      <c r="K11" s="235">
        <v>123756.89</v>
      </c>
      <c r="L11" s="297">
        <v>123756.89</v>
      </c>
      <c r="M11" s="297">
        <v>123756.89</v>
      </c>
      <c r="N11" s="297">
        <v>123756.89</v>
      </c>
      <c r="T11" s="235" t="s">
        <v>955</v>
      </c>
      <c r="U11" t="s">
        <v>959</v>
      </c>
      <c r="V11" t="s">
        <v>791</v>
      </c>
    </row>
    <row r="12" spans="1:22" x14ac:dyDescent="0.3">
      <c r="A12" t="s">
        <v>313</v>
      </c>
      <c r="B12" t="s">
        <v>553</v>
      </c>
      <c r="C12" s="235">
        <v>-118442.01</v>
      </c>
      <c r="D12" s="263">
        <v>-118442.01</v>
      </c>
      <c r="E12" s="263">
        <v>-118442.01</v>
      </c>
      <c r="F12" s="235">
        <v>-118442.01</v>
      </c>
      <c r="G12" s="235">
        <v>-118442.01</v>
      </c>
      <c r="H12" s="235">
        <v>-118442.01</v>
      </c>
      <c r="I12" s="235">
        <v>-118442.01</v>
      </c>
      <c r="J12" s="235">
        <v>-118442.01</v>
      </c>
      <c r="K12" s="235">
        <v>-118442.01</v>
      </c>
      <c r="L12" s="297">
        <v>-118442.01</v>
      </c>
      <c r="M12" s="297">
        <v>-118442.01</v>
      </c>
      <c r="N12" s="297">
        <v>-118442.01</v>
      </c>
      <c r="T12" s="235" t="s">
        <v>955</v>
      </c>
      <c r="U12" t="s">
        <v>959</v>
      </c>
      <c r="V12" t="s">
        <v>171</v>
      </c>
    </row>
    <row r="13" spans="1:22" x14ac:dyDescent="0.3">
      <c r="A13" t="s">
        <v>771</v>
      </c>
      <c r="B13" t="s">
        <v>772</v>
      </c>
      <c r="C13" s="235">
        <v>-90263.62</v>
      </c>
      <c r="D13" s="263">
        <v>-91492.92</v>
      </c>
      <c r="E13" s="263">
        <v>-92722.21</v>
      </c>
      <c r="F13" s="235">
        <v>-93951.51</v>
      </c>
      <c r="G13" s="235">
        <v>-95180.81</v>
      </c>
      <c r="H13" s="235">
        <v>-96410.11</v>
      </c>
      <c r="I13" s="235">
        <v>-97639.41</v>
      </c>
      <c r="J13" s="235">
        <v>-98868.71</v>
      </c>
      <c r="K13" s="235">
        <v>-100098.01</v>
      </c>
      <c r="L13" s="297">
        <v>-101327.31</v>
      </c>
      <c r="M13" s="297">
        <v>-102556.61</v>
      </c>
      <c r="N13" s="297">
        <v>-103785.91</v>
      </c>
      <c r="T13" s="235" t="s">
        <v>955</v>
      </c>
      <c r="U13" t="s">
        <v>959</v>
      </c>
      <c r="V13" t="s">
        <v>792</v>
      </c>
    </row>
    <row r="14" spans="1:22" x14ac:dyDescent="0.3">
      <c r="A14" t="s">
        <v>314</v>
      </c>
      <c r="B14" t="s">
        <v>735</v>
      </c>
      <c r="C14" s="235">
        <v>700161.28</v>
      </c>
      <c r="D14" s="263">
        <v>708661.28</v>
      </c>
      <c r="E14" s="263">
        <v>721421.31</v>
      </c>
      <c r="F14" s="235">
        <v>726144.31</v>
      </c>
      <c r="G14" s="235">
        <v>725101.31</v>
      </c>
      <c r="H14" s="235">
        <v>732331.31</v>
      </c>
      <c r="I14" s="235">
        <v>927707.03</v>
      </c>
      <c r="J14" s="235">
        <v>943457.03</v>
      </c>
      <c r="K14" s="235">
        <v>1050164.6299999999</v>
      </c>
      <c r="L14" s="297">
        <v>1050929.6299999999</v>
      </c>
      <c r="M14" s="297">
        <v>1104048.79</v>
      </c>
      <c r="N14" s="297">
        <v>1114367.98</v>
      </c>
      <c r="T14" s="235" t="s">
        <v>955</v>
      </c>
      <c r="U14" t="s">
        <v>976</v>
      </c>
      <c r="V14" t="s">
        <v>786</v>
      </c>
    </row>
    <row r="15" spans="1:22" x14ac:dyDescent="0.3">
      <c r="A15" t="s">
        <v>830</v>
      </c>
      <c r="B15" t="s">
        <v>831</v>
      </c>
      <c r="C15" s="235">
        <v>1125459.69</v>
      </c>
      <c r="D15" s="263">
        <v>1125459.69</v>
      </c>
      <c r="E15" s="263">
        <v>1125459.69</v>
      </c>
      <c r="F15" s="235">
        <v>1125459.69</v>
      </c>
      <c r="G15" s="235">
        <v>1125459.69</v>
      </c>
      <c r="H15" s="235">
        <v>1144450.22</v>
      </c>
      <c r="I15" s="235">
        <v>1144450.22</v>
      </c>
      <c r="J15" s="235">
        <v>1203524.99</v>
      </c>
      <c r="K15" s="235">
        <v>1203524.99</v>
      </c>
      <c r="L15" s="297">
        <v>1203524.99</v>
      </c>
      <c r="M15" s="297">
        <v>1203524.99</v>
      </c>
      <c r="N15" s="297">
        <v>1203524.99</v>
      </c>
      <c r="T15" s="235" t="s">
        <v>955</v>
      </c>
      <c r="U15" t="s">
        <v>959</v>
      </c>
      <c r="V15" t="s">
        <v>972</v>
      </c>
    </row>
    <row r="16" spans="1:22" x14ac:dyDescent="0.3">
      <c r="A16" t="s">
        <v>832</v>
      </c>
      <c r="B16" t="s">
        <v>833</v>
      </c>
      <c r="C16" s="235">
        <v>141694.5</v>
      </c>
      <c r="D16" s="263">
        <v>141694.5</v>
      </c>
      <c r="E16" s="263">
        <v>141694.5</v>
      </c>
      <c r="F16" s="235">
        <v>141694.5</v>
      </c>
      <c r="G16" s="235">
        <v>141694.5</v>
      </c>
      <c r="H16" s="235">
        <v>188085.35</v>
      </c>
      <c r="I16" s="235">
        <v>188085.35</v>
      </c>
      <c r="J16" s="235">
        <v>188085.35</v>
      </c>
      <c r="K16" s="235">
        <v>188085.35</v>
      </c>
      <c r="L16" s="297">
        <v>188085.35</v>
      </c>
      <c r="M16" s="297">
        <v>188085.35</v>
      </c>
      <c r="N16" s="297">
        <v>188085.35</v>
      </c>
      <c r="T16" s="235" t="s">
        <v>955</v>
      </c>
      <c r="U16" t="s">
        <v>959</v>
      </c>
      <c r="V16" t="s">
        <v>973</v>
      </c>
    </row>
    <row r="17" spans="1:22" x14ac:dyDescent="0.3">
      <c r="A17" t="s">
        <v>834</v>
      </c>
      <c r="B17" t="s">
        <v>836</v>
      </c>
      <c r="C17" s="235">
        <v>-763809.62</v>
      </c>
      <c r="D17" s="263">
        <v>-777707.54</v>
      </c>
      <c r="E17" s="263">
        <v>-791605.46</v>
      </c>
      <c r="F17" s="235">
        <v>-805503.38</v>
      </c>
      <c r="G17" s="235">
        <v>-819401.3</v>
      </c>
      <c r="H17" s="235">
        <v>-833694.86</v>
      </c>
      <c r="I17" s="235">
        <v>-847988.42</v>
      </c>
      <c r="J17" s="235">
        <v>-862281.98</v>
      </c>
      <c r="K17" s="235">
        <v>-876575.54</v>
      </c>
      <c r="L17" s="297">
        <v>-890869.1</v>
      </c>
      <c r="M17" s="297">
        <v>-905162.66</v>
      </c>
      <c r="N17" s="297">
        <v>-919456.22</v>
      </c>
      <c r="T17" s="235" t="s">
        <v>955</v>
      </c>
      <c r="U17" t="s">
        <v>959</v>
      </c>
      <c r="V17" t="s">
        <v>974</v>
      </c>
    </row>
    <row r="18" spans="1:22" x14ac:dyDescent="0.3">
      <c r="A18" t="s">
        <v>835</v>
      </c>
      <c r="B18" t="s">
        <v>837</v>
      </c>
      <c r="C18" s="235">
        <v>-113564.81</v>
      </c>
      <c r="D18" s="263">
        <v>-115323.57</v>
      </c>
      <c r="E18" s="263">
        <v>-117082.33</v>
      </c>
      <c r="F18" s="235">
        <v>-118841.09</v>
      </c>
      <c r="G18" s="235">
        <v>-120599.85</v>
      </c>
      <c r="H18" s="235">
        <v>-126792.27</v>
      </c>
      <c r="I18" s="235">
        <v>-129771.84</v>
      </c>
      <c r="J18" s="235">
        <v>-132751.41</v>
      </c>
      <c r="K18" s="235">
        <v>-136715.56</v>
      </c>
      <c r="L18" s="297">
        <v>-140679.71</v>
      </c>
      <c r="M18" s="297">
        <v>-144643.85999999999</v>
      </c>
      <c r="N18" s="297">
        <v>-148608.01</v>
      </c>
      <c r="T18" s="235" t="s">
        <v>955</v>
      </c>
      <c r="U18" t="s">
        <v>959</v>
      </c>
      <c r="V18" t="s">
        <v>975</v>
      </c>
    </row>
    <row r="19" spans="1:22" x14ac:dyDescent="0.3">
      <c r="A19" t="s">
        <v>315</v>
      </c>
      <c r="B19" t="s">
        <v>554</v>
      </c>
      <c r="C19" s="235">
        <v>6.87</v>
      </c>
      <c r="D19" s="263">
        <v>6.87</v>
      </c>
      <c r="E19" s="263">
        <v>6.87</v>
      </c>
      <c r="F19" s="235">
        <v>6.87</v>
      </c>
      <c r="G19" s="235">
        <v>6.87</v>
      </c>
      <c r="H19" s="235">
        <v>6.87</v>
      </c>
      <c r="I19" s="235">
        <v>6.87</v>
      </c>
      <c r="J19" s="235">
        <v>6.87</v>
      </c>
      <c r="K19" s="235">
        <v>6.87</v>
      </c>
      <c r="L19" s="297">
        <v>6.87</v>
      </c>
      <c r="M19" s="297">
        <v>6.87</v>
      </c>
      <c r="N19" s="297">
        <v>6.87</v>
      </c>
      <c r="T19" s="235" t="s">
        <v>967</v>
      </c>
      <c r="U19" t="s">
        <v>963</v>
      </c>
      <c r="V19" t="s">
        <v>554</v>
      </c>
    </row>
    <row r="20" spans="1:22" x14ac:dyDescent="0.3">
      <c r="A20" t="s">
        <v>316</v>
      </c>
      <c r="B20" t="s">
        <v>555</v>
      </c>
      <c r="C20" s="235">
        <v>26330455</v>
      </c>
      <c r="D20" s="263">
        <v>26553050</v>
      </c>
      <c r="E20" s="263">
        <v>28052395.75</v>
      </c>
      <c r="F20" s="235">
        <v>29171192</v>
      </c>
      <c r="G20" s="235">
        <v>28088893.68</v>
      </c>
      <c r="H20" s="235">
        <v>34396681.619999997</v>
      </c>
      <c r="I20" s="235">
        <v>27189399</v>
      </c>
      <c r="J20" s="235">
        <v>21111335.77</v>
      </c>
      <c r="K20" s="235">
        <v>15685266.48</v>
      </c>
      <c r="L20" s="297">
        <v>19897796.100000001</v>
      </c>
      <c r="M20" s="297">
        <v>20128172</v>
      </c>
      <c r="N20" s="297">
        <v>20636493</v>
      </c>
      <c r="T20" s="235" t="s">
        <v>967</v>
      </c>
      <c r="U20" t="s">
        <v>61</v>
      </c>
      <c r="V20" t="s">
        <v>62</v>
      </c>
    </row>
    <row r="21" spans="1:22" x14ac:dyDescent="0.3">
      <c r="A21" t="s">
        <v>901</v>
      </c>
      <c r="B21" t="s">
        <v>902</v>
      </c>
      <c r="C21" s="235">
        <v>98246.3</v>
      </c>
      <c r="D21" s="263">
        <v>97406.05</v>
      </c>
      <c r="E21" s="263">
        <v>91053.84</v>
      </c>
      <c r="F21" s="235">
        <v>86067.55</v>
      </c>
      <c r="G21" s="235">
        <v>93319.48</v>
      </c>
      <c r="H21" s="235">
        <v>93717.93</v>
      </c>
      <c r="I21" s="235">
        <v>76220.59</v>
      </c>
      <c r="J21" s="235">
        <v>72643.61</v>
      </c>
      <c r="K21" s="235">
        <v>84407.6</v>
      </c>
      <c r="L21" s="297">
        <v>63884.37</v>
      </c>
      <c r="M21" s="297">
        <v>114259.56</v>
      </c>
      <c r="N21" s="297">
        <v>149509.28</v>
      </c>
      <c r="T21" s="235" t="s">
        <v>967</v>
      </c>
      <c r="U21" t="s">
        <v>61</v>
      </c>
      <c r="V21" t="s">
        <v>903</v>
      </c>
    </row>
    <row r="22" spans="1:22" x14ac:dyDescent="0.3">
      <c r="A22" t="s">
        <v>317</v>
      </c>
      <c r="B22" t="s">
        <v>556</v>
      </c>
      <c r="C22" s="235">
        <v>3974458.88</v>
      </c>
      <c r="D22" s="263">
        <v>4044868.78</v>
      </c>
      <c r="E22" s="263">
        <v>4087178.05</v>
      </c>
      <c r="F22" s="235">
        <v>3996065.24</v>
      </c>
      <c r="G22" s="235">
        <v>3986553.92</v>
      </c>
      <c r="H22" s="235">
        <v>4025843.17</v>
      </c>
      <c r="I22" s="235">
        <v>4067885.36</v>
      </c>
      <c r="J22" s="235">
        <v>3919349.38</v>
      </c>
      <c r="K22" s="235">
        <v>3982212.22</v>
      </c>
      <c r="L22" s="297">
        <v>4038851.43</v>
      </c>
      <c r="M22" s="297">
        <v>4152259.61</v>
      </c>
      <c r="N22" s="297">
        <v>4123745.16</v>
      </c>
      <c r="T22" s="235" t="s">
        <v>967</v>
      </c>
      <c r="U22" t="s">
        <v>61</v>
      </c>
      <c r="V22" t="s">
        <v>63</v>
      </c>
    </row>
    <row r="23" spans="1:22" x14ac:dyDescent="0.3">
      <c r="A23" s="307" t="s">
        <v>557</v>
      </c>
      <c r="B23" s="307" t="s">
        <v>558</v>
      </c>
      <c r="C23" s="280">
        <v>301285.84000000003</v>
      </c>
      <c r="D23" s="308">
        <v>275454.32</v>
      </c>
      <c r="E23" s="308">
        <v>253652.77</v>
      </c>
      <c r="F23" s="280">
        <v>337910.65</v>
      </c>
      <c r="G23" s="280">
        <v>313917.49</v>
      </c>
      <c r="H23" s="280">
        <v>347088.01</v>
      </c>
      <c r="I23" s="280">
        <v>317406.53000000003</v>
      </c>
      <c r="J23" s="280">
        <v>360350.54</v>
      </c>
      <c r="K23" s="280">
        <v>330099.21000000002</v>
      </c>
      <c r="L23" s="309">
        <v>304012.92</v>
      </c>
      <c r="M23" s="312">
        <v>278142.90000000002</v>
      </c>
      <c r="N23" s="309">
        <v>216461.11</v>
      </c>
      <c r="T23" s="235" t="s">
        <v>967</v>
      </c>
      <c r="U23" t="s">
        <v>61</v>
      </c>
      <c r="V23" t="s">
        <v>739</v>
      </c>
    </row>
    <row r="24" spans="1:22" x14ac:dyDescent="0.3">
      <c r="A24" t="s">
        <v>318</v>
      </c>
      <c r="B24" t="s">
        <v>559</v>
      </c>
      <c r="C24" s="235">
        <v>5092166</v>
      </c>
      <c r="D24" s="263">
        <v>5422414</v>
      </c>
      <c r="E24" s="263">
        <v>6224459</v>
      </c>
      <c r="F24" s="235">
        <v>8348847</v>
      </c>
      <c r="G24" s="235">
        <v>6788791</v>
      </c>
      <c r="H24" s="235">
        <v>7934890</v>
      </c>
      <c r="I24" s="235">
        <v>6858520</v>
      </c>
      <c r="J24" s="235">
        <v>6593601</v>
      </c>
      <c r="K24" s="235">
        <v>6847888</v>
      </c>
      <c r="L24" s="297">
        <v>7292214</v>
      </c>
      <c r="M24" s="297">
        <v>6729928</v>
      </c>
      <c r="N24" s="297">
        <v>7426277</v>
      </c>
      <c r="T24" s="235" t="s">
        <v>967</v>
      </c>
      <c r="U24" t="s">
        <v>61</v>
      </c>
      <c r="V24" t="s">
        <v>64</v>
      </c>
    </row>
    <row r="25" spans="1:22" x14ac:dyDescent="0.3">
      <c r="A25" t="s">
        <v>319</v>
      </c>
      <c r="B25" t="s">
        <v>560</v>
      </c>
      <c r="C25" s="235">
        <v>2410963.98</v>
      </c>
      <c r="D25" s="263">
        <v>3040673.19</v>
      </c>
      <c r="E25" s="263">
        <v>4292894.3899999997</v>
      </c>
      <c r="F25" s="235">
        <v>3381684.24</v>
      </c>
      <c r="G25" s="235">
        <v>3852798.2</v>
      </c>
      <c r="H25" s="235">
        <v>2947986.23</v>
      </c>
      <c r="I25" s="235">
        <v>2001381.25</v>
      </c>
      <c r="J25" s="235">
        <v>1386800.84</v>
      </c>
      <c r="K25" s="235">
        <v>1095880.92</v>
      </c>
      <c r="L25" s="297">
        <v>640319.73</v>
      </c>
      <c r="M25" s="297">
        <v>331082.78999999998</v>
      </c>
      <c r="N25" s="297">
        <v>0</v>
      </c>
      <c r="T25" s="235" t="s">
        <v>967</v>
      </c>
      <c r="U25" t="s">
        <v>61</v>
      </c>
      <c r="V25" t="s">
        <v>64</v>
      </c>
    </row>
    <row r="26" spans="1:22" x14ac:dyDescent="0.3">
      <c r="A26" t="s">
        <v>320</v>
      </c>
      <c r="B26" t="s">
        <v>561</v>
      </c>
      <c r="C26" s="235">
        <v>0</v>
      </c>
      <c r="D26" s="263">
        <v>0</v>
      </c>
      <c r="E26" s="263"/>
      <c r="F26" s="235">
        <v>0</v>
      </c>
      <c r="G26" s="235">
        <v>0</v>
      </c>
      <c r="H26" s="235">
        <v>0</v>
      </c>
      <c r="I26" s="235">
        <v>0</v>
      </c>
      <c r="J26" s="235">
        <v>0</v>
      </c>
      <c r="K26" s="235">
        <v>0</v>
      </c>
      <c r="L26" s="297">
        <v>0</v>
      </c>
      <c r="M26" s="297">
        <v>0</v>
      </c>
      <c r="N26" s="297">
        <v>0</v>
      </c>
      <c r="T26" s="235" t="s">
        <v>967</v>
      </c>
      <c r="U26" t="s">
        <v>61</v>
      </c>
      <c r="V26" t="s">
        <v>64</v>
      </c>
    </row>
    <row r="27" spans="1:22" x14ac:dyDescent="0.3">
      <c r="A27" t="s">
        <v>773</v>
      </c>
      <c r="B27" t="s">
        <v>774</v>
      </c>
      <c r="C27" s="235">
        <v>71293.83</v>
      </c>
      <c r="D27" s="263">
        <v>71293.83</v>
      </c>
      <c r="E27" s="263">
        <v>12000</v>
      </c>
      <c r="F27" s="235">
        <v>29606.6</v>
      </c>
      <c r="G27" s="235">
        <v>35614.42</v>
      </c>
      <c r="H27" s="235">
        <v>24958.6</v>
      </c>
      <c r="I27" s="235">
        <v>24739.599999999999</v>
      </c>
      <c r="J27" s="235">
        <v>38134.629999999997</v>
      </c>
      <c r="K27" s="235">
        <v>59920.24</v>
      </c>
      <c r="L27" s="297">
        <v>59920.24</v>
      </c>
      <c r="M27" s="297">
        <v>75249.919999999998</v>
      </c>
      <c r="N27" s="297">
        <v>9215379.3699999992</v>
      </c>
      <c r="T27" s="235" t="s">
        <v>967</v>
      </c>
      <c r="U27" t="s">
        <v>65</v>
      </c>
      <c r="V27" t="s">
        <v>794</v>
      </c>
    </row>
    <row r="28" spans="1:22" x14ac:dyDescent="0.3">
      <c r="A28" t="s">
        <v>321</v>
      </c>
      <c r="B28" t="s">
        <v>562</v>
      </c>
      <c r="C28" s="235">
        <v>45681886.640000001</v>
      </c>
      <c r="D28" s="263">
        <v>49474279.57</v>
      </c>
      <c r="E28" s="263">
        <v>52787896.280000001</v>
      </c>
      <c r="F28" s="235">
        <v>51490244.240000002</v>
      </c>
      <c r="G28" s="235">
        <v>49774302.920000002</v>
      </c>
      <c r="H28" s="235">
        <v>49582185.539999999</v>
      </c>
      <c r="I28" s="235">
        <v>50758768.549999997</v>
      </c>
      <c r="J28" s="235">
        <v>47291459.57</v>
      </c>
      <c r="K28" s="235">
        <v>44193407.729999997</v>
      </c>
      <c r="L28" s="297">
        <v>42031518.520000003</v>
      </c>
      <c r="M28" s="297">
        <v>40877852.060000002</v>
      </c>
      <c r="N28" s="320">
        <v>37037417.390000001</v>
      </c>
      <c r="T28" s="235" t="s">
        <v>967</v>
      </c>
      <c r="U28" t="s">
        <v>65</v>
      </c>
      <c r="V28" t="s">
        <v>795</v>
      </c>
    </row>
    <row r="29" spans="1:22" x14ac:dyDescent="0.3">
      <c r="A29" t="s">
        <v>322</v>
      </c>
      <c r="B29" t="s">
        <v>563</v>
      </c>
      <c r="C29" s="235">
        <v>-18704.740000000002</v>
      </c>
      <c r="D29" s="263">
        <v>-20000</v>
      </c>
      <c r="E29" s="263">
        <v>-30000</v>
      </c>
      <c r="F29" s="235">
        <v>-40000</v>
      </c>
      <c r="G29" s="235">
        <v>-50000</v>
      </c>
      <c r="H29" s="235">
        <v>-60000</v>
      </c>
      <c r="I29" s="235">
        <v>-70000</v>
      </c>
      <c r="J29" s="235">
        <v>-80000</v>
      </c>
      <c r="K29" s="235">
        <v>-90000</v>
      </c>
      <c r="L29" s="297">
        <v>-100000</v>
      </c>
      <c r="M29" s="297">
        <v>-110000</v>
      </c>
      <c r="N29" s="297">
        <v>-120000</v>
      </c>
      <c r="T29" s="235" t="s">
        <v>967</v>
      </c>
      <c r="U29" t="s">
        <v>65</v>
      </c>
      <c r="V29" t="s">
        <v>797</v>
      </c>
    </row>
    <row r="30" spans="1:22" x14ac:dyDescent="0.3">
      <c r="A30" t="s">
        <v>323</v>
      </c>
      <c r="B30" t="s">
        <v>564</v>
      </c>
      <c r="C30" s="235">
        <v>-0.09</v>
      </c>
      <c r="D30" s="263">
        <v>-0.09</v>
      </c>
      <c r="E30" s="263">
        <v>-0.09</v>
      </c>
      <c r="F30" s="235">
        <v>-0.09</v>
      </c>
      <c r="G30" s="235">
        <v>-0.09</v>
      </c>
      <c r="H30" s="235">
        <v>-0.09</v>
      </c>
      <c r="I30" s="235">
        <v>-0.09</v>
      </c>
      <c r="J30" s="235">
        <v>-0.09</v>
      </c>
      <c r="K30" s="235">
        <v>-0.09</v>
      </c>
      <c r="L30" s="297">
        <v>-0.09</v>
      </c>
      <c r="M30" s="297">
        <v>-0.09</v>
      </c>
      <c r="N30" s="297">
        <v>-0.09</v>
      </c>
      <c r="T30" s="235" t="s">
        <v>967</v>
      </c>
      <c r="U30" t="s">
        <v>65</v>
      </c>
      <c r="V30" t="s">
        <v>798</v>
      </c>
    </row>
    <row r="31" spans="1:22" x14ac:dyDescent="0.3">
      <c r="A31" t="s">
        <v>989</v>
      </c>
      <c r="B31" t="s">
        <v>821</v>
      </c>
      <c r="C31" s="235">
        <v>0</v>
      </c>
      <c r="D31" s="263">
        <v>0</v>
      </c>
      <c r="E31" s="263"/>
      <c r="F31" s="235">
        <v>0</v>
      </c>
      <c r="G31" s="235">
        <v>0</v>
      </c>
      <c r="H31" s="235">
        <v>0</v>
      </c>
      <c r="I31" s="235">
        <v>0</v>
      </c>
      <c r="J31" s="235">
        <v>0</v>
      </c>
      <c r="K31" s="235">
        <v>0</v>
      </c>
      <c r="L31" s="297">
        <v>0</v>
      </c>
      <c r="M31" s="297">
        <v>0</v>
      </c>
      <c r="N31" s="297">
        <v>0</v>
      </c>
      <c r="T31" s="235" t="s">
        <v>967</v>
      </c>
      <c r="U31" t="s">
        <v>65</v>
      </c>
      <c r="V31" t="s">
        <v>821</v>
      </c>
    </row>
    <row r="32" spans="1:22" x14ac:dyDescent="0.3">
      <c r="A32" t="s">
        <v>990</v>
      </c>
      <c r="B32" t="s">
        <v>822</v>
      </c>
      <c r="C32" s="235">
        <v>0</v>
      </c>
      <c r="D32" s="263">
        <v>0</v>
      </c>
      <c r="E32" s="263"/>
      <c r="F32" s="235">
        <v>0</v>
      </c>
      <c r="G32" s="235">
        <v>0</v>
      </c>
      <c r="H32" s="235">
        <v>0</v>
      </c>
      <c r="I32" s="235">
        <v>0</v>
      </c>
      <c r="J32" s="235">
        <v>0</v>
      </c>
      <c r="K32" s="235">
        <v>0</v>
      </c>
      <c r="L32" s="297">
        <v>0</v>
      </c>
      <c r="M32" s="297">
        <v>0</v>
      </c>
      <c r="N32" s="297">
        <v>0</v>
      </c>
      <c r="T32" s="235" t="s">
        <v>967</v>
      </c>
      <c r="U32" t="s">
        <v>65</v>
      </c>
      <c r="V32" t="s">
        <v>822</v>
      </c>
    </row>
    <row r="33" spans="1:22" x14ac:dyDescent="0.3">
      <c r="A33" t="s">
        <v>991</v>
      </c>
      <c r="B33" t="s">
        <v>823</v>
      </c>
      <c r="C33" s="235">
        <v>0</v>
      </c>
      <c r="D33" s="263">
        <v>0</v>
      </c>
      <c r="E33" s="263"/>
      <c r="F33" s="235">
        <v>0</v>
      </c>
      <c r="G33" s="235">
        <v>0</v>
      </c>
      <c r="H33" s="235">
        <v>0</v>
      </c>
      <c r="I33" s="235">
        <v>0</v>
      </c>
      <c r="J33" s="235">
        <v>0</v>
      </c>
      <c r="K33" s="235">
        <v>0</v>
      </c>
      <c r="L33" s="297">
        <v>0</v>
      </c>
      <c r="M33" s="297">
        <v>0</v>
      </c>
      <c r="N33" s="297">
        <v>0</v>
      </c>
      <c r="T33" s="235" t="s">
        <v>967</v>
      </c>
      <c r="U33" t="s">
        <v>65</v>
      </c>
      <c r="V33" t="s">
        <v>823</v>
      </c>
    </row>
    <row r="34" spans="1:22" x14ac:dyDescent="0.3">
      <c r="A34" t="s">
        <v>992</v>
      </c>
      <c r="B34" t="s">
        <v>824</v>
      </c>
      <c r="C34" s="235">
        <v>0</v>
      </c>
      <c r="D34" s="263">
        <v>0</v>
      </c>
      <c r="E34" s="263"/>
      <c r="F34" s="235">
        <v>0</v>
      </c>
      <c r="G34" s="235">
        <v>0</v>
      </c>
      <c r="H34" s="235">
        <v>0</v>
      </c>
      <c r="I34" s="235">
        <v>0</v>
      </c>
      <c r="J34" s="235">
        <v>0</v>
      </c>
      <c r="K34" s="235">
        <v>0</v>
      </c>
      <c r="L34" s="297">
        <v>0</v>
      </c>
      <c r="M34" s="297">
        <v>0</v>
      </c>
      <c r="N34" s="297">
        <v>0</v>
      </c>
      <c r="T34" s="235" t="s">
        <v>967</v>
      </c>
      <c r="U34" t="s">
        <v>65</v>
      </c>
      <c r="V34" t="s">
        <v>824</v>
      </c>
    </row>
    <row r="35" spans="1:22" x14ac:dyDescent="0.3">
      <c r="A35" t="s">
        <v>856</v>
      </c>
      <c r="B35" t="s">
        <v>857</v>
      </c>
      <c r="C35" s="235">
        <v>-12640745.630000001</v>
      </c>
      <c r="D35" s="263">
        <v>-14347453.26</v>
      </c>
      <c r="E35" s="263">
        <v>-16691683.789999999</v>
      </c>
      <c r="F35" s="235">
        <v>-15986229.210000001</v>
      </c>
      <c r="G35" s="235">
        <v>-15937380.289999999</v>
      </c>
      <c r="H35" s="235">
        <v>-17000780.649999999</v>
      </c>
      <c r="I35" s="235">
        <v>-17631334.210000001</v>
      </c>
      <c r="J35" s="235">
        <v>-17169591.780000001</v>
      </c>
      <c r="K35" s="235">
        <v>-15566042.48</v>
      </c>
      <c r="L35" s="297">
        <v>-12026477.630000001</v>
      </c>
      <c r="M35" s="297">
        <v>-11886006.800000001</v>
      </c>
      <c r="N35" s="297">
        <v>-10719893.550000001</v>
      </c>
      <c r="T35" s="235" t="s">
        <v>967</v>
      </c>
      <c r="U35" t="s">
        <v>65</v>
      </c>
      <c r="V35" t="s">
        <v>799</v>
      </c>
    </row>
    <row r="36" spans="1:22" x14ac:dyDescent="0.3">
      <c r="A36" t="s">
        <v>858</v>
      </c>
      <c r="B36" t="s">
        <v>859</v>
      </c>
      <c r="C36" s="235">
        <v>-3685886.75</v>
      </c>
      <c r="D36" s="263">
        <v>-4830796.05</v>
      </c>
      <c r="E36" s="263">
        <v>-5577738.7199999997</v>
      </c>
      <c r="F36" s="235">
        <v>-4513127.32</v>
      </c>
      <c r="G36" s="235">
        <v>-4344691.62</v>
      </c>
      <c r="H36" s="235">
        <v>-3643377.31</v>
      </c>
      <c r="I36" s="235">
        <v>-2772632.83</v>
      </c>
      <c r="J36" s="235">
        <v>-2354821.7599999998</v>
      </c>
      <c r="K36" s="235">
        <v>-1889829.01</v>
      </c>
      <c r="L36" s="297">
        <v>-2313679</v>
      </c>
      <c r="M36" s="297">
        <v>-2310715.41</v>
      </c>
      <c r="N36" s="297">
        <v>-962120.13</v>
      </c>
      <c r="T36" s="235" t="s">
        <v>967</v>
      </c>
      <c r="U36" t="s">
        <v>65</v>
      </c>
      <c r="V36" t="s">
        <v>801</v>
      </c>
    </row>
    <row r="37" spans="1:22" x14ac:dyDescent="0.3">
      <c r="A37" t="s">
        <v>860</v>
      </c>
      <c r="B37" t="s">
        <v>861</v>
      </c>
      <c r="C37" s="235">
        <v>0.03</v>
      </c>
      <c r="D37" s="263">
        <v>1079566.3799999999</v>
      </c>
      <c r="E37" s="263">
        <v>2540104.2599999998</v>
      </c>
      <c r="F37" s="235">
        <v>0.12</v>
      </c>
      <c r="G37" s="235">
        <v>1092176.8500000001</v>
      </c>
      <c r="H37" s="235">
        <v>1893550.54</v>
      </c>
      <c r="I37" s="235">
        <v>0.13</v>
      </c>
      <c r="J37" s="235">
        <v>914517.08</v>
      </c>
      <c r="K37" s="235">
        <v>684775.23</v>
      </c>
      <c r="L37" s="297">
        <v>0.17</v>
      </c>
      <c r="M37" s="297">
        <v>757226.21</v>
      </c>
      <c r="N37" s="297">
        <v>-0.01</v>
      </c>
    </row>
    <row r="38" spans="1:22" x14ac:dyDescent="0.3">
      <c r="A38" t="s">
        <v>862</v>
      </c>
      <c r="B38" t="s">
        <v>863</v>
      </c>
      <c r="C38" s="235">
        <v>0</v>
      </c>
      <c r="D38" s="263">
        <v>41677.31</v>
      </c>
      <c r="E38" s="263">
        <v>334425.51</v>
      </c>
      <c r="F38" s="235">
        <v>0</v>
      </c>
      <c r="G38" s="235">
        <v>291462.38</v>
      </c>
      <c r="H38" s="235">
        <v>0</v>
      </c>
      <c r="I38" s="235">
        <v>0</v>
      </c>
      <c r="J38" s="235">
        <v>9.2200000000000006</v>
      </c>
      <c r="K38" s="235">
        <v>9.18</v>
      </c>
      <c r="L38" s="297">
        <v>9.18</v>
      </c>
      <c r="M38" s="297">
        <v>73416.19</v>
      </c>
      <c r="N38" s="297">
        <v>0</v>
      </c>
      <c r="T38" s="235" t="s">
        <v>967</v>
      </c>
      <c r="U38" t="s">
        <v>65</v>
      </c>
      <c r="V38" t="s">
        <v>800</v>
      </c>
    </row>
    <row r="39" spans="1:22" x14ac:dyDescent="0.3">
      <c r="A39" t="s">
        <v>527</v>
      </c>
      <c r="B39" t="s">
        <v>565</v>
      </c>
      <c r="C39" s="235">
        <v>10814512.02</v>
      </c>
      <c r="D39" s="263">
        <v>11010736.15</v>
      </c>
      <c r="E39" s="263">
        <v>11022602.369999999</v>
      </c>
      <c r="F39" s="235">
        <v>11130671.9</v>
      </c>
      <c r="G39" s="235">
        <v>11253292.52</v>
      </c>
      <c r="H39" s="235">
        <v>11412550.640000001</v>
      </c>
      <c r="I39" s="235">
        <v>11401479.560000001</v>
      </c>
      <c r="J39" s="235">
        <v>11424830.17</v>
      </c>
      <c r="K39" s="235">
        <v>11399122.16</v>
      </c>
      <c r="L39" s="297">
        <v>11411695.939999999</v>
      </c>
      <c r="M39" s="297">
        <v>11390601.880000001</v>
      </c>
      <c r="N39" s="320">
        <v>11370591.029999999</v>
      </c>
      <c r="T39" s="235" t="s">
        <v>967</v>
      </c>
      <c r="U39" t="s">
        <v>66</v>
      </c>
      <c r="V39" t="e">
        <v>#N/A</v>
      </c>
    </row>
    <row r="40" spans="1:22" x14ac:dyDescent="0.3">
      <c r="A40" t="s">
        <v>784</v>
      </c>
      <c r="B40" t="s">
        <v>785</v>
      </c>
      <c r="C40" s="235">
        <v>0</v>
      </c>
      <c r="D40" s="263">
        <v>0</v>
      </c>
      <c r="E40" s="263"/>
      <c r="F40" s="235">
        <v>0</v>
      </c>
      <c r="G40" s="235">
        <v>0</v>
      </c>
      <c r="H40" s="235">
        <v>0</v>
      </c>
      <c r="I40" s="235">
        <v>0</v>
      </c>
      <c r="J40" s="235">
        <v>0</v>
      </c>
      <c r="K40" s="235">
        <v>0</v>
      </c>
      <c r="L40" s="297">
        <v>0</v>
      </c>
      <c r="M40" s="297">
        <v>0</v>
      </c>
      <c r="N40" s="297">
        <v>0</v>
      </c>
      <c r="T40" s="235" t="s">
        <v>967</v>
      </c>
      <c r="U40" t="s">
        <v>66</v>
      </c>
      <c r="V40" t="s">
        <v>803</v>
      </c>
    </row>
    <row r="41" spans="1:22" x14ac:dyDescent="0.3">
      <c r="A41" s="318" t="s">
        <v>977</v>
      </c>
      <c r="B41" s="318" t="s">
        <v>978</v>
      </c>
      <c r="C41" s="316">
        <v>30992.83</v>
      </c>
      <c r="D41" s="317">
        <v>31028.080000000002</v>
      </c>
      <c r="E41" s="317">
        <v>34090.25</v>
      </c>
      <c r="F41" s="316">
        <v>34375.21</v>
      </c>
      <c r="G41" s="316">
        <v>35805.46</v>
      </c>
      <c r="H41" s="316">
        <v>37388.11</v>
      </c>
      <c r="I41" s="316">
        <v>38465.050000000003</v>
      </c>
      <c r="J41" s="316">
        <v>39153.08</v>
      </c>
      <c r="K41" s="316">
        <v>40308.99</v>
      </c>
      <c r="L41" s="314">
        <v>41403.57</v>
      </c>
      <c r="M41" s="314">
        <v>42283.839999999997</v>
      </c>
      <c r="N41" s="314">
        <v>0</v>
      </c>
      <c r="T41" s="235" t="s">
        <v>967</v>
      </c>
      <c r="U41" t="s">
        <v>68</v>
      </c>
      <c r="V41">
        <v>0</v>
      </c>
    </row>
    <row r="42" spans="1:22" x14ac:dyDescent="0.3">
      <c r="A42" t="s">
        <v>528</v>
      </c>
      <c r="B42" t="s">
        <v>566</v>
      </c>
      <c r="C42" s="235">
        <v>0</v>
      </c>
      <c r="D42" s="263">
        <v>0</v>
      </c>
      <c r="E42" s="263"/>
      <c r="F42" s="235">
        <v>0</v>
      </c>
      <c r="G42" s="235">
        <v>0</v>
      </c>
      <c r="H42" s="235">
        <v>0</v>
      </c>
      <c r="I42" s="235">
        <v>0</v>
      </c>
      <c r="J42" s="235">
        <v>0</v>
      </c>
      <c r="K42" s="235">
        <v>0</v>
      </c>
      <c r="L42" s="297">
        <v>0</v>
      </c>
      <c r="M42" s="297">
        <v>0</v>
      </c>
      <c r="N42" s="320">
        <v>69750.23</v>
      </c>
      <c r="O42" s="321">
        <f>N42+N39+N28</f>
        <v>48477758.649999999</v>
      </c>
      <c r="T42" s="235" t="s">
        <v>967</v>
      </c>
      <c r="V42" t="e">
        <v>#N/A</v>
      </c>
    </row>
    <row r="43" spans="1:22" x14ac:dyDescent="0.3">
      <c r="A43" t="s">
        <v>324</v>
      </c>
      <c r="B43" t="s">
        <v>567</v>
      </c>
      <c r="C43" s="235">
        <v>0</v>
      </c>
      <c r="D43" s="263">
        <v>0</v>
      </c>
      <c r="E43" s="263"/>
      <c r="F43" s="235">
        <v>0</v>
      </c>
      <c r="G43" s="235">
        <v>0</v>
      </c>
      <c r="H43" s="235">
        <v>0</v>
      </c>
      <c r="I43" s="235">
        <v>0</v>
      </c>
      <c r="J43" s="235">
        <v>0</v>
      </c>
      <c r="K43" s="235">
        <v>0</v>
      </c>
      <c r="L43" s="297">
        <v>0</v>
      </c>
      <c r="M43" s="297">
        <v>0</v>
      </c>
      <c r="N43" s="297">
        <v>0</v>
      </c>
      <c r="T43" s="235" t="s">
        <v>967</v>
      </c>
      <c r="U43" t="s">
        <v>66</v>
      </c>
      <c r="V43" t="s">
        <v>968</v>
      </c>
    </row>
    <row r="44" spans="1:22" x14ac:dyDescent="0.3">
      <c r="A44" t="s">
        <v>993</v>
      </c>
      <c r="B44" t="s">
        <v>1006</v>
      </c>
      <c r="C44" s="235">
        <v>0</v>
      </c>
      <c r="D44" s="263">
        <v>0</v>
      </c>
      <c r="E44" s="263"/>
      <c r="F44" s="235">
        <v>0</v>
      </c>
      <c r="G44" s="235">
        <v>0</v>
      </c>
      <c r="H44" s="235">
        <v>0</v>
      </c>
      <c r="I44" s="235">
        <v>0</v>
      </c>
      <c r="J44" s="235">
        <v>0</v>
      </c>
      <c r="K44" s="235">
        <v>0</v>
      </c>
      <c r="L44" s="297">
        <v>0</v>
      </c>
      <c r="M44" s="297">
        <v>0</v>
      </c>
      <c r="N44" s="297">
        <v>0</v>
      </c>
      <c r="T44" s="235" t="s">
        <v>967</v>
      </c>
      <c r="U44" t="s">
        <v>66</v>
      </c>
      <c r="V44" t="s">
        <v>286</v>
      </c>
    </row>
    <row r="45" spans="1:22" x14ac:dyDescent="0.3">
      <c r="A45" s="271" t="s">
        <v>458</v>
      </c>
      <c r="B45" t="s">
        <v>568</v>
      </c>
      <c r="C45" s="235">
        <v>12394094.529999999</v>
      </c>
      <c r="D45" s="263">
        <v>7619499.3300000001</v>
      </c>
      <c r="E45" s="263">
        <v>2696136.07</v>
      </c>
      <c r="F45" s="235">
        <v>2464748.8199999998</v>
      </c>
      <c r="G45" s="235">
        <v>1329215.72</v>
      </c>
      <c r="H45" s="235">
        <v>2876369.54</v>
      </c>
      <c r="I45" s="235">
        <v>5476466.1100000003</v>
      </c>
      <c r="J45" s="235">
        <v>5000405.0199999996</v>
      </c>
      <c r="K45" s="235">
        <v>2764034.06</v>
      </c>
      <c r="L45" s="297">
        <v>803127.37</v>
      </c>
      <c r="M45" s="297">
        <v>2460725.64</v>
      </c>
      <c r="N45" s="297">
        <v>2225095.73</v>
      </c>
      <c r="T45" s="235" t="s">
        <v>967</v>
      </c>
      <c r="U45" t="s">
        <v>960</v>
      </c>
      <c r="V45" t="s">
        <v>572</v>
      </c>
    </row>
    <row r="46" spans="1:22" x14ac:dyDescent="0.3">
      <c r="A46" t="s">
        <v>459</v>
      </c>
      <c r="B46" t="s">
        <v>569</v>
      </c>
      <c r="C46" s="235">
        <v>0</v>
      </c>
      <c r="D46" s="263">
        <v>0</v>
      </c>
      <c r="E46" s="263"/>
      <c r="F46" s="235">
        <v>0</v>
      </c>
      <c r="G46" s="235">
        <v>0</v>
      </c>
      <c r="H46" s="235">
        <v>0</v>
      </c>
      <c r="I46" s="235">
        <v>0</v>
      </c>
      <c r="J46" s="235">
        <v>0</v>
      </c>
      <c r="K46" s="235">
        <v>0</v>
      </c>
      <c r="L46" s="297">
        <v>0</v>
      </c>
      <c r="M46" s="297">
        <v>0</v>
      </c>
      <c r="N46" s="297">
        <v>0</v>
      </c>
      <c r="T46" s="235" t="s">
        <v>967</v>
      </c>
      <c r="U46" t="s">
        <v>960</v>
      </c>
      <c r="V46" t="s">
        <v>573</v>
      </c>
    </row>
    <row r="47" spans="1:22" x14ac:dyDescent="0.3">
      <c r="A47" t="s">
        <v>838</v>
      </c>
      <c r="B47" t="s">
        <v>699</v>
      </c>
      <c r="C47" s="235">
        <v>0</v>
      </c>
      <c r="D47" s="263">
        <v>0</v>
      </c>
      <c r="E47" s="263"/>
      <c r="F47" s="235">
        <v>0</v>
      </c>
      <c r="G47" s="235">
        <v>0</v>
      </c>
      <c r="H47" s="235">
        <v>0</v>
      </c>
      <c r="I47" s="235">
        <v>0</v>
      </c>
      <c r="J47" s="235">
        <v>0</v>
      </c>
      <c r="K47" s="235">
        <v>0</v>
      </c>
      <c r="L47" s="297">
        <v>0</v>
      </c>
      <c r="M47" s="297">
        <v>0</v>
      </c>
      <c r="N47" s="297">
        <v>0</v>
      </c>
      <c r="T47" s="235" t="s">
        <v>967</v>
      </c>
      <c r="U47" t="s">
        <v>960</v>
      </c>
      <c r="V47" t="s">
        <v>574</v>
      </c>
    </row>
    <row r="48" spans="1:22" x14ac:dyDescent="0.3">
      <c r="A48" t="s">
        <v>994</v>
      </c>
      <c r="B48" t="s">
        <v>1007</v>
      </c>
      <c r="C48" s="235">
        <v>0</v>
      </c>
      <c r="D48" s="263">
        <v>0</v>
      </c>
      <c r="E48" s="263"/>
      <c r="F48" s="235">
        <v>0</v>
      </c>
      <c r="G48" s="235">
        <v>0</v>
      </c>
      <c r="H48" s="235">
        <v>0</v>
      </c>
      <c r="I48" s="235">
        <v>0</v>
      </c>
      <c r="J48" s="235">
        <v>0</v>
      </c>
      <c r="K48" s="235">
        <v>0</v>
      </c>
      <c r="L48" s="297">
        <v>0</v>
      </c>
      <c r="M48" s="297">
        <v>0</v>
      </c>
      <c r="N48" s="297">
        <v>0</v>
      </c>
      <c r="T48" s="235" t="s">
        <v>967</v>
      </c>
      <c r="U48" t="s">
        <v>960</v>
      </c>
      <c r="V48" t="s">
        <v>575</v>
      </c>
    </row>
    <row r="49" spans="1:22" x14ac:dyDescent="0.3">
      <c r="A49" s="271" t="s">
        <v>570</v>
      </c>
      <c r="B49" t="s">
        <v>571</v>
      </c>
      <c r="C49" s="235">
        <v>2465487.67</v>
      </c>
      <c r="D49" s="263">
        <v>2614196.98</v>
      </c>
      <c r="E49" s="263">
        <v>2863674.55</v>
      </c>
      <c r="F49" s="235">
        <v>2996712.77</v>
      </c>
      <c r="G49" s="235">
        <v>3154955.29</v>
      </c>
      <c r="H49" s="235">
        <v>3134799.68</v>
      </c>
      <c r="I49" s="235">
        <v>3161195.92</v>
      </c>
      <c r="J49" s="235">
        <v>3215999.92</v>
      </c>
      <c r="K49" s="235">
        <v>3260070.54</v>
      </c>
      <c r="L49" s="297">
        <v>501407.44</v>
      </c>
      <c r="M49" s="297">
        <v>206027.29</v>
      </c>
      <c r="N49" s="297">
        <v>228278.75</v>
      </c>
      <c r="T49" s="235" t="s">
        <v>967</v>
      </c>
      <c r="U49" t="s">
        <v>960</v>
      </c>
      <c r="V49" t="s">
        <v>576</v>
      </c>
    </row>
    <row r="50" spans="1:22" x14ac:dyDescent="0.3">
      <c r="A50" t="s">
        <v>763</v>
      </c>
      <c r="B50" t="s">
        <v>764</v>
      </c>
      <c r="C50" s="235">
        <v>0</v>
      </c>
      <c r="D50" s="263">
        <v>0</v>
      </c>
      <c r="E50" s="263"/>
      <c r="F50" s="235">
        <v>0</v>
      </c>
      <c r="G50" s="235">
        <v>0</v>
      </c>
      <c r="H50" s="235">
        <v>0</v>
      </c>
      <c r="I50" s="235">
        <v>0</v>
      </c>
      <c r="J50" s="235">
        <v>0</v>
      </c>
      <c r="K50" s="235">
        <v>0</v>
      </c>
      <c r="L50" s="297">
        <v>0</v>
      </c>
      <c r="M50" s="297">
        <v>0</v>
      </c>
      <c r="N50" s="297">
        <v>0</v>
      </c>
      <c r="T50" s="235" t="s">
        <v>967</v>
      </c>
      <c r="U50" t="s">
        <v>960</v>
      </c>
      <c r="V50" t="s">
        <v>577</v>
      </c>
    </row>
    <row r="51" spans="1:22" x14ac:dyDescent="0.3">
      <c r="A51" t="s">
        <v>995</v>
      </c>
      <c r="B51" t="s">
        <v>1008</v>
      </c>
      <c r="C51" s="235">
        <v>0</v>
      </c>
      <c r="D51" s="263">
        <v>0</v>
      </c>
      <c r="E51" s="263"/>
      <c r="F51" s="235">
        <v>0</v>
      </c>
      <c r="G51" s="235">
        <v>0</v>
      </c>
      <c r="H51" s="235">
        <v>0</v>
      </c>
      <c r="I51" s="235">
        <v>0</v>
      </c>
      <c r="J51" s="235">
        <v>0</v>
      </c>
      <c r="K51" s="235">
        <v>0</v>
      </c>
      <c r="L51" s="297">
        <v>0</v>
      </c>
      <c r="M51" s="297">
        <v>0</v>
      </c>
      <c r="N51" s="297">
        <v>0</v>
      </c>
      <c r="T51" s="235" t="s">
        <v>967</v>
      </c>
      <c r="U51" t="s">
        <v>960</v>
      </c>
      <c r="V51" t="s">
        <v>578</v>
      </c>
    </row>
    <row r="52" spans="1:22" x14ac:dyDescent="0.3">
      <c r="A52" t="s">
        <v>920</v>
      </c>
      <c r="B52" t="s">
        <v>921</v>
      </c>
      <c r="C52" s="235">
        <v>5647.34</v>
      </c>
      <c r="D52" s="263">
        <v>5647.34</v>
      </c>
      <c r="E52" s="263">
        <v>5647.34</v>
      </c>
      <c r="F52" s="235">
        <v>5647.34</v>
      </c>
      <c r="G52" s="235">
        <v>5647.34</v>
      </c>
      <c r="H52" s="235">
        <v>5647.34</v>
      </c>
      <c r="I52" s="235">
        <v>5647.34</v>
      </c>
      <c r="J52" s="235">
        <v>5647.34</v>
      </c>
      <c r="K52" s="235">
        <v>5647.34</v>
      </c>
      <c r="L52" s="297">
        <v>5647.34</v>
      </c>
      <c r="M52" s="297">
        <v>5647.34</v>
      </c>
      <c r="N52" s="297">
        <v>5647.34</v>
      </c>
      <c r="T52" s="235" t="s">
        <v>967</v>
      </c>
      <c r="U52" t="s">
        <v>960</v>
      </c>
      <c r="V52" t="s">
        <v>579</v>
      </c>
    </row>
    <row r="53" spans="1:22" x14ac:dyDescent="0.3">
      <c r="A53" t="s">
        <v>325</v>
      </c>
      <c r="B53" t="s">
        <v>572</v>
      </c>
      <c r="C53" s="235">
        <v>3524297.2</v>
      </c>
      <c r="D53" s="263">
        <v>5595117.1500000004</v>
      </c>
      <c r="E53" s="263">
        <v>7402803.1600000001</v>
      </c>
      <c r="F53" s="235">
        <v>11356670.84</v>
      </c>
      <c r="G53" s="235">
        <v>5512081.3499999996</v>
      </c>
      <c r="H53" s="235">
        <v>3761088.54</v>
      </c>
      <c r="I53" s="235">
        <v>6291742.3399999999</v>
      </c>
      <c r="J53" s="235">
        <v>6221139.1799999997</v>
      </c>
      <c r="K53" s="235">
        <v>4105217.97</v>
      </c>
      <c r="L53" s="297">
        <v>2148942.71</v>
      </c>
      <c r="M53" s="297">
        <v>1030008.25</v>
      </c>
      <c r="N53" s="297">
        <v>1260696.04</v>
      </c>
      <c r="T53" s="235" t="s">
        <v>967</v>
      </c>
      <c r="U53" t="s">
        <v>960</v>
      </c>
      <c r="V53" t="s">
        <v>580</v>
      </c>
    </row>
    <row r="54" spans="1:22" x14ac:dyDescent="0.3">
      <c r="A54" t="s">
        <v>529</v>
      </c>
      <c r="B54" t="s">
        <v>573</v>
      </c>
      <c r="C54" s="235">
        <v>2366571.5299999998</v>
      </c>
      <c r="D54" s="263">
        <v>3895942.13</v>
      </c>
      <c r="E54" s="263">
        <v>4398135.59</v>
      </c>
      <c r="F54" s="235">
        <v>4829656.1399999997</v>
      </c>
      <c r="G54" s="235">
        <v>703656.93</v>
      </c>
      <c r="H54" s="235">
        <v>1018131.28</v>
      </c>
      <c r="I54" s="235">
        <v>1523978.63</v>
      </c>
      <c r="J54" s="235">
        <v>1505349.23</v>
      </c>
      <c r="K54" s="235">
        <v>1482618</v>
      </c>
      <c r="L54" s="297">
        <v>656793.73</v>
      </c>
      <c r="M54" s="297">
        <v>679434.06</v>
      </c>
      <c r="N54" s="297">
        <v>673381.51</v>
      </c>
      <c r="T54" s="235" t="s">
        <v>967</v>
      </c>
      <c r="U54" t="s">
        <v>960</v>
      </c>
      <c r="V54" t="s">
        <v>581</v>
      </c>
    </row>
    <row r="55" spans="1:22" x14ac:dyDescent="0.3">
      <c r="A55" t="s">
        <v>530</v>
      </c>
      <c r="B55" t="s">
        <v>574</v>
      </c>
      <c r="C55" s="235">
        <v>55094.87</v>
      </c>
      <c r="D55" s="263">
        <v>55031.34</v>
      </c>
      <c r="E55" s="263">
        <v>54934.98</v>
      </c>
      <c r="F55" s="235">
        <v>54899.75</v>
      </c>
      <c r="G55" s="235">
        <v>54626.34</v>
      </c>
      <c r="H55" s="235">
        <v>54254.09</v>
      </c>
      <c r="I55" s="235">
        <v>54008.959999999999</v>
      </c>
      <c r="J55" s="235">
        <v>53896.92</v>
      </c>
      <c r="K55" s="235">
        <v>53345.75</v>
      </c>
      <c r="L55" s="297">
        <v>53418.15</v>
      </c>
      <c r="M55" s="297">
        <v>53192.5</v>
      </c>
      <c r="N55" s="297">
        <v>52972.81</v>
      </c>
      <c r="T55" s="235" t="s">
        <v>967</v>
      </c>
      <c r="U55" t="s">
        <v>960</v>
      </c>
      <c r="V55" t="s">
        <v>583</v>
      </c>
    </row>
    <row r="56" spans="1:22" x14ac:dyDescent="0.3">
      <c r="A56" t="s">
        <v>531</v>
      </c>
      <c r="B56" t="s">
        <v>575</v>
      </c>
      <c r="C56" s="235">
        <v>13898.82</v>
      </c>
      <c r="D56" s="263">
        <v>13933.86</v>
      </c>
      <c r="E56" s="263">
        <v>13918.34</v>
      </c>
      <c r="F56" s="235">
        <v>14024.88</v>
      </c>
      <c r="G56" s="235">
        <v>4091.83</v>
      </c>
      <c r="H56" s="235">
        <v>4094.04</v>
      </c>
      <c r="I56" s="235">
        <v>4019.18</v>
      </c>
      <c r="J56" s="235">
        <v>8226.1</v>
      </c>
      <c r="K56" s="235">
        <v>24685.65</v>
      </c>
      <c r="L56" s="297">
        <v>7105.44</v>
      </c>
      <c r="M56" s="297">
        <v>7239.94</v>
      </c>
      <c r="N56" s="297">
        <v>7271.82</v>
      </c>
      <c r="T56" s="235" t="s">
        <v>967</v>
      </c>
      <c r="U56" t="s">
        <v>960</v>
      </c>
      <c r="V56" t="s">
        <v>585</v>
      </c>
    </row>
    <row r="57" spans="1:22" x14ac:dyDescent="0.3">
      <c r="A57" t="s">
        <v>532</v>
      </c>
      <c r="B57" t="s">
        <v>576</v>
      </c>
      <c r="C57" s="235">
        <v>0</v>
      </c>
      <c r="D57" s="263">
        <v>0</v>
      </c>
      <c r="E57" s="263"/>
      <c r="F57" s="235">
        <v>0</v>
      </c>
      <c r="G57" s="235">
        <v>0</v>
      </c>
      <c r="H57" s="235">
        <v>0</v>
      </c>
      <c r="I57" s="235">
        <v>0</v>
      </c>
      <c r="J57" s="235">
        <v>0</v>
      </c>
      <c r="K57" s="235">
        <v>0</v>
      </c>
      <c r="L57" s="297">
        <v>0</v>
      </c>
      <c r="M57" s="297">
        <v>0</v>
      </c>
      <c r="N57" s="297">
        <v>0</v>
      </c>
      <c r="T57" s="235" t="s">
        <v>967</v>
      </c>
      <c r="U57" t="s">
        <v>960</v>
      </c>
      <c r="V57" t="s">
        <v>587</v>
      </c>
    </row>
    <row r="58" spans="1:22" x14ac:dyDescent="0.3">
      <c r="A58" t="s">
        <v>533</v>
      </c>
      <c r="B58" t="s">
        <v>577</v>
      </c>
      <c r="C58" s="235">
        <v>1539857.59</v>
      </c>
      <c r="D58" s="263">
        <v>1539198.8</v>
      </c>
      <c r="E58" s="263">
        <v>1537620</v>
      </c>
      <c r="F58" s="235">
        <v>38484.550000000003</v>
      </c>
      <c r="G58" s="235">
        <v>38043.980000000003</v>
      </c>
      <c r="H58" s="235">
        <v>37812.239999999998</v>
      </c>
      <c r="I58" s="235">
        <v>37389.86</v>
      </c>
      <c r="J58" s="235">
        <v>37234.160000000003</v>
      </c>
      <c r="K58" s="235">
        <v>36880.29</v>
      </c>
      <c r="L58" s="297">
        <v>26113.07</v>
      </c>
      <c r="M58" s="297">
        <v>334848.09999999998</v>
      </c>
      <c r="N58" s="297">
        <v>333514.09999999998</v>
      </c>
      <c r="T58" s="235" t="s">
        <v>967</v>
      </c>
      <c r="U58" t="s">
        <v>960</v>
      </c>
      <c r="V58" t="s">
        <v>589</v>
      </c>
    </row>
    <row r="59" spans="1:22" x14ac:dyDescent="0.3">
      <c r="A59" t="s">
        <v>534</v>
      </c>
      <c r="B59" t="s">
        <v>578</v>
      </c>
      <c r="C59" s="235">
        <v>0</v>
      </c>
      <c r="D59" s="263">
        <v>0</v>
      </c>
      <c r="E59" s="263"/>
      <c r="F59" s="235">
        <v>0</v>
      </c>
      <c r="G59" s="235">
        <v>0</v>
      </c>
      <c r="H59" s="235">
        <v>0</v>
      </c>
      <c r="I59" s="235">
        <v>0</v>
      </c>
      <c r="J59" s="235">
        <v>0</v>
      </c>
      <c r="K59" s="235">
        <v>0</v>
      </c>
      <c r="L59" s="297">
        <v>0</v>
      </c>
      <c r="M59" s="297">
        <v>0</v>
      </c>
      <c r="N59" s="297">
        <v>0</v>
      </c>
      <c r="T59" s="235" t="s">
        <v>967</v>
      </c>
      <c r="U59" t="s">
        <v>960</v>
      </c>
      <c r="V59" t="s">
        <v>591</v>
      </c>
    </row>
    <row r="60" spans="1:22" x14ac:dyDescent="0.3">
      <c r="A60" t="s">
        <v>535</v>
      </c>
      <c r="B60" t="s">
        <v>579</v>
      </c>
      <c r="C60" s="235">
        <v>0</v>
      </c>
      <c r="D60" s="263">
        <v>0</v>
      </c>
      <c r="E60" s="263"/>
      <c r="F60" s="235">
        <v>0</v>
      </c>
      <c r="G60" s="235">
        <v>0</v>
      </c>
      <c r="H60" s="235">
        <v>0</v>
      </c>
      <c r="I60" s="235">
        <v>0</v>
      </c>
      <c r="J60" s="235">
        <v>0</v>
      </c>
      <c r="K60" s="235">
        <v>0</v>
      </c>
      <c r="L60" s="297">
        <v>0</v>
      </c>
      <c r="M60" s="297">
        <v>0</v>
      </c>
      <c r="N60" s="297">
        <v>0</v>
      </c>
      <c r="T60" s="235" t="s">
        <v>967</v>
      </c>
      <c r="U60" t="s">
        <v>960</v>
      </c>
      <c r="V60" t="s">
        <v>593</v>
      </c>
    </row>
    <row r="61" spans="1:22" x14ac:dyDescent="0.3">
      <c r="A61" t="s">
        <v>536</v>
      </c>
      <c r="B61" t="s">
        <v>580</v>
      </c>
      <c r="C61" s="235">
        <v>138.88</v>
      </c>
      <c r="D61" s="263">
        <v>138.88</v>
      </c>
      <c r="E61" s="263">
        <v>138.88</v>
      </c>
      <c r="F61" s="235">
        <v>138.88</v>
      </c>
      <c r="G61" s="235">
        <v>138.88</v>
      </c>
      <c r="H61" s="235">
        <v>138.88</v>
      </c>
      <c r="I61" s="235">
        <v>138.88</v>
      </c>
      <c r="J61" s="235">
        <v>138.88</v>
      </c>
      <c r="K61" s="235">
        <v>138.88</v>
      </c>
      <c r="L61" s="297">
        <v>138.88</v>
      </c>
      <c r="M61" s="297">
        <v>138.88</v>
      </c>
      <c r="N61" s="297">
        <v>138.88</v>
      </c>
      <c r="T61" s="235" t="s">
        <v>967</v>
      </c>
      <c r="U61" t="s">
        <v>960</v>
      </c>
      <c r="V61" t="s">
        <v>595</v>
      </c>
    </row>
    <row r="62" spans="1:22" x14ac:dyDescent="0.3">
      <c r="A62" t="s">
        <v>537</v>
      </c>
      <c r="B62" t="s">
        <v>581</v>
      </c>
      <c r="C62" s="235">
        <v>324244.77</v>
      </c>
      <c r="D62" s="263">
        <v>324106.05</v>
      </c>
      <c r="E62" s="263">
        <v>323773.59999999998</v>
      </c>
      <c r="F62" s="235">
        <v>323801.28000000003</v>
      </c>
      <c r="G62" s="235">
        <v>322423.17</v>
      </c>
      <c r="H62" s="235">
        <v>320459.17</v>
      </c>
      <c r="I62" s="235">
        <v>319243.78000000003</v>
      </c>
      <c r="J62" s="235">
        <v>318813.84999999998</v>
      </c>
      <c r="K62" s="235">
        <v>315783.86</v>
      </c>
      <c r="L62" s="297">
        <v>316443.39</v>
      </c>
      <c r="M62" s="297">
        <v>315336.95</v>
      </c>
      <c r="N62" s="297">
        <v>314264.28000000003</v>
      </c>
      <c r="T62" s="235" t="s">
        <v>967</v>
      </c>
      <c r="U62" t="s">
        <v>960</v>
      </c>
      <c r="V62" t="s">
        <v>597</v>
      </c>
    </row>
    <row r="63" spans="1:22" x14ac:dyDescent="0.3">
      <c r="A63" t="s">
        <v>582</v>
      </c>
      <c r="B63" t="s">
        <v>583</v>
      </c>
      <c r="C63" s="235">
        <v>0</v>
      </c>
      <c r="D63" s="263">
        <v>0</v>
      </c>
      <c r="E63" s="263">
        <v>-2249.2600000000002</v>
      </c>
      <c r="F63" s="235">
        <v>0</v>
      </c>
      <c r="G63" s="235">
        <v>-882.79</v>
      </c>
      <c r="H63" s="235">
        <v>0</v>
      </c>
      <c r="I63" s="235">
        <v>0</v>
      </c>
      <c r="J63" s="235">
        <v>0</v>
      </c>
      <c r="K63" s="235">
        <v>0</v>
      </c>
      <c r="L63" s="297">
        <v>0</v>
      </c>
      <c r="M63" s="297">
        <v>0</v>
      </c>
      <c r="N63" s="297">
        <v>0</v>
      </c>
      <c r="T63" s="235" t="s">
        <v>967</v>
      </c>
      <c r="U63" t="s">
        <v>960</v>
      </c>
      <c r="V63" t="s">
        <v>599</v>
      </c>
    </row>
    <row r="64" spans="1:22" x14ac:dyDescent="0.3">
      <c r="A64" t="s">
        <v>584</v>
      </c>
      <c r="B64" t="s">
        <v>585</v>
      </c>
      <c r="C64" s="235">
        <v>0</v>
      </c>
      <c r="D64" s="263">
        <v>0</v>
      </c>
      <c r="E64" s="263"/>
      <c r="F64" s="235">
        <v>0</v>
      </c>
      <c r="G64" s="235">
        <v>0</v>
      </c>
      <c r="H64" s="235">
        <v>0</v>
      </c>
      <c r="I64" s="235">
        <v>0</v>
      </c>
      <c r="J64" s="235">
        <v>0</v>
      </c>
      <c r="K64" s="235">
        <v>0</v>
      </c>
      <c r="L64" s="297">
        <v>0</v>
      </c>
      <c r="M64" s="297">
        <v>0</v>
      </c>
      <c r="N64" s="297">
        <v>0</v>
      </c>
      <c r="T64" s="235" t="s">
        <v>967</v>
      </c>
      <c r="U64" t="s">
        <v>960</v>
      </c>
      <c r="V64" t="s">
        <v>781</v>
      </c>
    </row>
    <row r="65" spans="1:22" x14ac:dyDescent="0.3">
      <c r="A65" t="s">
        <v>586</v>
      </c>
      <c r="B65" t="s">
        <v>587</v>
      </c>
      <c r="C65" s="235">
        <v>0</v>
      </c>
      <c r="D65" s="263">
        <v>0</v>
      </c>
      <c r="E65" s="263"/>
      <c r="F65" s="235">
        <v>0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297">
        <v>0</v>
      </c>
      <c r="M65" s="297">
        <v>0</v>
      </c>
      <c r="N65" s="297">
        <v>0</v>
      </c>
      <c r="T65" s="235" t="s">
        <v>967</v>
      </c>
      <c r="U65" t="s">
        <v>960</v>
      </c>
      <c r="V65" t="s">
        <v>825</v>
      </c>
    </row>
    <row r="66" spans="1:22" x14ac:dyDescent="0.3">
      <c r="A66" t="s">
        <v>996</v>
      </c>
      <c r="B66" t="s">
        <v>1009</v>
      </c>
      <c r="C66" s="235">
        <v>0</v>
      </c>
      <c r="D66" s="263">
        <v>0</v>
      </c>
      <c r="E66" s="263"/>
      <c r="F66" s="235">
        <v>0</v>
      </c>
      <c r="G66" s="235">
        <v>0</v>
      </c>
      <c r="H66" s="235">
        <v>0</v>
      </c>
      <c r="I66" s="235">
        <v>0</v>
      </c>
      <c r="J66" s="235">
        <v>0</v>
      </c>
      <c r="K66" s="235">
        <v>0</v>
      </c>
      <c r="L66" s="297">
        <v>0</v>
      </c>
      <c r="M66" s="297">
        <v>0</v>
      </c>
      <c r="N66" s="297">
        <v>0</v>
      </c>
      <c r="T66" s="235" t="s">
        <v>967</v>
      </c>
      <c r="U66" t="s">
        <v>960</v>
      </c>
      <c r="V66" t="s">
        <v>826</v>
      </c>
    </row>
    <row r="67" spans="1:22" x14ac:dyDescent="0.3">
      <c r="A67" t="s">
        <v>588</v>
      </c>
      <c r="B67" t="s">
        <v>589</v>
      </c>
      <c r="C67" s="235">
        <v>0</v>
      </c>
      <c r="D67" s="263">
        <v>0</v>
      </c>
      <c r="E67" s="263"/>
      <c r="F67" s="235">
        <v>0</v>
      </c>
      <c r="G67" s="235">
        <v>0</v>
      </c>
      <c r="H67" s="235">
        <v>0</v>
      </c>
      <c r="I67" s="235">
        <v>0</v>
      </c>
      <c r="J67" s="235">
        <v>0</v>
      </c>
      <c r="K67" s="235">
        <v>0</v>
      </c>
      <c r="L67" s="297">
        <v>0</v>
      </c>
      <c r="M67" s="297">
        <v>0</v>
      </c>
      <c r="N67" s="297">
        <v>0</v>
      </c>
      <c r="T67" s="235" t="s">
        <v>967</v>
      </c>
      <c r="U67" t="s">
        <v>960</v>
      </c>
      <c r="V67" t="s">
        <v>601</v>
      </c>
    </row>
    <row r="68" spans="1:22" x14ac:dyDescent="0.3">
      <c r="A68" t="s">
        <v>590</v>
      </c>
      <c r="B68" t="s">
        <v>591</v>
      </c>
      <c r="C68" s="235">
        <v>-0.02</v>
      </c>
      <c r="D68" s="263">
        <v>-0.02</v>
      </c>
      <c r="E68" s="263">
        <v>-0.02</v>
      </c>
      <c r="F68" s="235">
        <v>-0.02</v>
      </c>
      <c r="G68" s="235">
        <v>-0.02</v>
      </c>
      <c r="H68" s="235">
        <v>-0.02</v>
      </c>
      <c r="I68" s="235">
        <v>-0.02</v>
      </c>
      <c r="J68" s="235">
        <v>-0.02</v>
      </c>
      <c r="K68" s="235">
        <v>-0.02</v>
      </c>
      <c r="L68" s="297">
        <v>0</v>
      </c>
      <c r="M68" s="297">
        <v>0</v>
      </c>
      <c r="N68" s="297">
        <v>0</v>
      </c>
      <c r="T68" s="235" t="s">
        <v>967</v>
      </c>
      <c r="U68" t="s">
        <v>960</v>
      </c>
      <c r="V68" t="s">
        <v>840</v>
      </c>
    </row>
    <row r="69" spans="1:22" x14ac:dyDescent="0.3">
      <c r="A69" t="s">
        <v>592</v>
      </c>
      <c r="B69" t="s">
        <v>593</v>
      </c>
      <c r="C69" s="235">
        <v>0</v>
      </c>
      <c r="D69" s="263">
        <v>0</v>
      </c>
      <c r="E69" s="263"/>
      <c r="F69" s="235">
        <v>0</v>
      </c>
      <c r="G69" s="235">
        <v>0</v>
      </c>
      <c r="H69" s="235">
        <v>0</v>
      </c>
      <c r="I69" s="235">
        <v>0</v>
      </c>
      <c r="J69" s="235">
        <v>0</v>
      </c>
      <c r="K69" s="235">
        <v>0</v>
      </c>
      <c r="L69" s="297">
        <v>0</v>
      </c>
      <c r="M69" s="297">
        <v>0</v>
      </c>
      <c r="N69" s="297">
        <v>0</v>
      </c>
      <c r="T69" s="235" t="s">
        <v>967</v>
      </c>
      <c r="U69" t="s">
        <v>960</v>
      </c>
      <c r="V69" t="s">
        <v>842</v>
      </c>
    </row>
    <row r="70" spans="1:22" x14ac:dyDescent="0.3">
      <c r="A70" t="s">
        <v>594</v>
      </c>
      <c r="B70" t="s">
        <v>595</v>
      </c>
      <c r="C70" s="235">
        <v>0</v>
      </c>
      <c r="D70" s="263">
        <v>0</v>
      </c>
      <c r="E70" s="263"/>
      <c r="F70" s="235">
        <v>0</v>
      </c>
      <c r="G70" s="235">
        <v>0</v>
      </c>
      <c r="H70" s="235">
        <v>0</v>
      </c>
      <c r="I70" s="235">
        <v>0</v>
      </c>
      <c r="J70" s="235">
        <v>0</v>
      </c>
      <c r="K70" s="235">
        <v>0</v>
      </c>
      <c r="L70" s="297">
        <v>0</v>
      </c>
      <c r="M70" s="297">
        <v>0</v>
      </c>
      <c r="N70" s="297">
        <v>0</v>
      </c>
      <c r="T70" s="235" t="s">
        <v>967</v>
      </c>
      <c r="U70" t="s">
        <v>960</v>
      </c>
      <c r="V70" t="e">
        <v>#N/A</v>
      </c>
    </row>
    <row r="71" spans="1:22" x14ac:dyDescent="0.3">
      <c r="A71" t="s">
        <v>596</v>
      </c>
      <c r="B71" t="s">
        <v>597</v>
      </c>
      <c r="C71" s="235">
        <v>0</v>
      </c>
      <c r="D71" s="263">
        <v>0</v>
      </c>
      <c r="E71" s="263"/>
      <c r="F71" s="235">
        <v>0</v>
      </c>
      <c r="G71" s="235">
        <v>0</v>
      </c>
      <c r="H71" s="235">
        <v>0</v>
      </c>
      <c r="I71" s="235">
        <v>0</v>
      </c>
      <c r="J71" s="235">
        <v>0</v>
      </c>
      <c r="K71" s="235">
        <v>0</v>
      </c>
      <c r="L71" s="297">
        <v>0</v>
      </c>
      <c r="M71" s="297">
        <v>0</v>
      </c>
      <c r="N71" s="297">
        <v>0</v>
      </c>
      <c r="T71" s="235" t="s">
        <v>967</v>
      </c>
      <c r="U71" t="s">
        <v>960</v>
      </c>
      <c r="V71" t="s">
        <v>889</v>
      </c>
    </row>
    <row r="72" spans="1:22" x14ac:dyDescent="0.3">
      <c r="A72" t="s">
        <v>598</v>
      </c>
      <c r="B72" t="s">
        <v>599</v>
      </c>
      <c r="C72" s="235">
        <v>0</v>
      </c>
      <c r="D72" s="263">
        <v>0</v>
      </c>
      <c r="E72" s="263"/>
      <c r="F72" s="235">
        <v>0</v>
      </c>
      <c r="G72" s="235">
        <v>0</v>
      </c>
      <c r="H72" s="235">
        <v>0</v>
      </c>
      <c r="I72" s="235">
        <v>0</v>
      </c>
      <c r="J72" s="235">
        <v>0</v>
      </c>
      <c r="K72" s="235">
        <v>0</v>
      </c>
      <c r="L72" s="297">
        <v>0</v>
      </c>
      <c r="M72" s="297">
        <v>0</v>
      </c>
      <c r="N72" s="297">
        <v>0</v>
      </c>
      <c r="T72" s="235" t="s">
        <v>967</v>
      </c>
      <c r="U72" t="s">
        <v>960</v>
      </c>
      <c r="V72" t="s">
        <v>602</v>
      </c>
    </row>
    <row r="73" spans="1:22" x14ac:dyDescent="0.3">
      <c r="A73" t="s">
        <v>780</v>
      </c>
      <c r="B73" t="s">
        <v>781</v>
      </c>
      <c r="C73" s="235">
        <v>0</v>
      </c>
      <c r="D73" s="263">
        <v>0</v>
      </c>
      <c r="E73" s="263"/>
      <c r="F73" s="235">
        <v>0</v>
      </c>
      <c r="G73" s="235">
        <v>0</v>
      </c>
      <c r="H73" s="235">
        <v>0</v>
      </c>
      <c r="I73" s="235">
        <v>0</v>
      </c>
      <c r="J73" s="235">
        <v>0</v>
      </c>
      <c r="K73" s="235">
        <v>0</v>
      </c>
      <c r="L73" s="297">
        <v>0</v>
      </c>
      <c r="M73" s="297">
        <v>0</v>
      </c>
      <c r="N73" s="297">
        <v>0</v>
      </c>
      <c r="T73" s="235" t="s">
        <v>967</v>
      </c>
      <c r="U73" t="s">
        <v>66</v>
      </c>
      <c r="V73" t="s">
        <v>922</v>
      </c>
    </row>
    <row r="74" spans="1:22" x14ac:dyDescent="0.3">
      <c r="A74" t="s">
        <v>868</v>
      </c>
      <c r="B74" t="s">
        <v>825</v>
      </c>
      <c r="C74" s="235">
        <v>13518662.4</v>
      </c>
      <c r="D74" s="263">
        <v>18123945.489999998</v>
      </c>
      <c r="E74" s="263">
        <v>22555573.870000001</v>
      </c>
      <c r="F74" s="235">
        <v>6056486.4900000002</v>
      </c>
      <c r="G74" s="235">
        <v>13463965.449999999</v>
      </c>
      <c r="H74" s="235">
        <v>15288749.02</v>
      </c>
      <c r="I74" s="235">
        <v>18940362.109999999</v>
      </c>
      <c r="J74" s="235">
        <v>26854023.649999999</v>
      </c>
      <c r="K74" s="235">
        <v>23790903.309999999</v>
      </c>
      <c r="L74" s="297">
        <v>22548061.039999999</v>
      </c>
      <c r="M74" s="297">
        <v>26290342.870000001</v>
      </c>
      <c r="N74" s="297">
        <v>30195834.57</v>
      </c>
      <c r="T74" s="235" t="s">
        <v>967</v>
      </c>
      <c r="U74" t="s">
        <v>963</v>
      </c>
      <c r="V74" t="s">
        <v>756</v>
      </c>
    </row>
    <row r="75" spans="1:22" x14ac:dyDescent="0.3">
      <c r="A75" t="s">
        <v>869</v>
      </c>
      <c r="B75" t="s">
        <v>826</v>
      </c>
      <c r="C75" s="235">
        <v>6738360.9500000002</v>
      </c>
      <c r="D75" s="263">
        <v>9584060.6899999995</v>
      </c>
      <c r="E75" s="263">
        <v>4969860.1500000004</v>
      </c>
      <c r="F75" s="235">
        <v>3757277.4</v>
      </c>
      <c r="G75" s="235">
        <v>10424221.34</v>
      </c>
      <c r="H75" s="235">
        <v>1426892.43</v>
      </c>
      <c r="I75" s="235">
        <v>3738584.36</v>
      </c>
      <c r="J75" s="235">
        <v>5156331.18</v>
      </c>
      <c r="K75" s="235">
        <v>1708155.18</v>
      </c>
      <c r="L75" s="297">
        <v>1785323.7</v>
      </c>
      <c r="M75" s="297">
        <v>911582.87</v>
      </c>
      <c r="N75" s="297">
        <v>1715607.71</v>
      </c>
      <c r="T75" s="235" t="s">
        <v>967</v>
      </c>
      <c r="U75" t="s">
        <v>963</v>
      </c>
      <c r="V75" t="s">
        <v>603</v>
      </c>
    </row>
    <row r="76" spans="1:22" x14ac:dyDescent="0.3">
      <c r="A76" t="s">
        <v>600</v>
      </c>
      <c r="B76" t="s">
        <v>601</v>
      </c>
      <c r="C76" s="235">
        <v>0</v>
      </c>
      <c r="D76" s="263">
        <v>0</v>
      </c>
      <c r="E76" s="263"/>
      <c r="F76" s="235">
        <v>0</v>
      </c>
      <c r="G76" s="235">
        <v>0</v>
      </c>
      <c r="H76" s="235">
        <v>0</v>
      </c>
      <c r="I76" s="235">
        <v>0</v>
      </c>
      <c r="J76" s="235">
        <v>0</v>
      </c>
      <c r="K76" s="235">
        <v>0</v>
      </c>
      <c r="L76" s="297">
        <v>0</v>
      </c>
      <c r="M76" s="297">
        <v>0</v>
      </c>
      <c r="N76" s="297">
        <v>0</v>
      </c>
      <c r="T76" s="235" t="s">
        <v>967</v>
      </c>
      <c r="U76" t="s">
        <v>963</v>
      </c>
      <c r="V76" t="s">
        <v>604</v>
      </c>
    </row>
    <row r="77" spans="1:22" x14ac:dyDescent="0.3">
      <c r="A77" t="s">
        <v>839</v>
      </c>
      <c r="B77" t="s">
        <v>840</v>
      </c>
      <c r="C77" s="235">
        <v>0</v>
      </c>
      <c r="D77" s="263">
        <v>0</v>
      </c>
      <c r="E77" s="263"/>
      <c r="F77" s="235">
        <v>0</v>
      </c>
      <c r="G77" s="235">
        <v>0</v>
      </c>
      <c r="H77" s="235">
        <v>0</v>
      </c>
      <c r="I77" s="235">
        <v>0</v>
      </c>
      <c r="J77" s="235">
        <v>0</v>
      </c>
      <c r="K77" s="235">
        <v>0</v>
      </c>
      <c r="L77" s="297">
        <v>0</v>
      </c>
      <c r="M77" s="297">
        <v>0</v>
      </c>
      <c r="N77" s="297">
        <v>0</v>
      </c>
      <c r="T77" s="235" t="s">
        <v>967</v>
      </c>
      <c r="U77" t="s">
        <v>66</v>
      </c>
      <c r="V77" t="s">
        <v>802</v>
      </c>
    </row>
    <row r="78" spans="1:22" x14ac:dyDescent="0.3">
      <c r="A78" t="s">
        <v>841</v>
      </c>
      <c r="B78" t="s">
        <v>842</v>
      </c>
      <c r="C78" s="235">
        <v>0</v>
      </c>
      <c r="D78" s="263">
        <v>0</v>
      </c>
      <c r="E78" s="263"/>
      <c r="F78" s="235">
        <v>0</v>
      </c>
      <c r="G78" s="235">
        <v>0</v>
      </c>
      <c r="H78" s="235">
        <v>0</v>
      </c>
      <c r="I78" s="235">
        <v>0</v>
      </c>
      <c r="J78" s="235">
        <v>0</v>
      </c>
      <c r="K78" s="235">
        <v>0</v>
      </c>
      <c r="L78" s="297">
        <v>0</v>
      </c>
      <c r="M78" s="297">
        <v>0</v>
      </c>
      <c r="N78" s="297">
        <v>0</v>
      </c>
      <c r="T78" s="235" t="s">
        <v>969</v>
      </c>
      <c r="U78" t="s">
        <v>68</v>
      </c>
      <c r="V78" t="s">
        <v>70</v>
      </c>
    </row>
    <row r="79" spans="1:22" x14ac:dyDescent="0.3">
      <c r="A79" t="s">
        <v>886</v>
      </c>
      <c r="B79" t="s">
        <v>887</v>
      </c>
      <c r="C79" s="235">
        <v>0</v>
      </c>
      <c r="D79" s="263">
        <v>0</v>
      </c>
      <c r="E79" s="263"/>
      <c r="F79" s="235">
        <v>0</v>
      </c>
      <c r="G79" s="235">
        <v>0</v>
      </c>
      <c r="H79" s="235">
        <v>0</v>
      </c>
      <c r="I79" s="235">
        <v>0</v>
      </c>
      <c r="J79" s="235">
        <v>0</v>
      </c>
      <c r="K79" s="235">
        <v>0</v>
      </c>
      <c r="L79" s="297">
        <v>0</v>
      </c>
      <c r="M79" s="297">
        <v>0</v>
      </c>
      <c r="N79" s="297">
        <v>0</v>
      </c>
      <c r="T79" s="235" t="s">
        <v>969</v>
      </c>
      <c r="U79" t="s">
        <v>68</v>
      </c>
      <c r="V79" t="s">
        <v>71</v>
      </c>
    </row>
    <row r="80" spans="1:22" x14ac:dyDescent="0.3">
      <c r="A80" t="s">
        <v>888</v>
      </c>
      <c r="B80" t="s">
        <v>889</v>
      </c>
      <c r="C80" s="235">
        <v>0</v>
      </c>
      <c r="D80" s="263">
        <v>0</v>
      </c>
      <c r="E80" s="263"/>
      <c r="F80" s="235">
        <v>0</v>
      </c>
      <c r="G80" s="235">
        <v>0</v>
      </c>
      <c r="H80" s="235">
        <v>0</v>
      </c>
      <c r="I80" s="235">
        <v>0</v>
      </c>
      <c r="J80" s="235">
        <v>0</v>
      </c>
      <c r="K80" s="235">
        <v>0</v>
      </c>
      <c r="L80" s="297">
        <v>0</v>
      </c>
      <c r="M80" s="297">
        <v>0</v>
      </c>
      <c r="N80" s="297">
        <v>0</v>
      </c>
      <c r="T80" s="235" t="s">
        <v>969</v>
      </c>
      <c r="U80" t="s">
        <v>66</v>
      </c>
      <c r="V80" t="e">
        <v>#N/A</v>
      </c>
    </row>
    <row r="81" spans="1:22" x14ac:dyDescent="0.3">
      <c r="A81" t="s">
        <v>326</v>
      </c>
      <c r="B81" t="s">
        <v>602</v>
      </c>
      <c r="C81" s="235">
        <v>220.47</v>
      </c>
      <c r="D81" s="263">
        <v>824.33</v>
      </c>
      <c r="E81" s="263">
        <v>792.59</v>
      </c>
      <c r="F81" s="235">
        <v>612.54</v>
      </c>
      <c r="G81" s="235">
        <v>466.09</v>
      </c>
      <c r="H81" s="235">
        <v>1344.72</v>
      </c>
      <c r="I81" s="235">
        <v>724.06</v>
      </c>
      <c r="J81" s="235">
        <v>1574.67</v>
      </c>
      <c r="K81" s="235">
        <v>941.1</v>
      </c>
      <c r="L81" s="297">
        <v>710</v>
      </c>
      <c r="M81" s="297">
        <v>1155.1300000000001</v>
      </c>
      <c r="N81" s="297">
        <v>548.23</v>
      </c>
    </row>
    <row r="82" spans="1:22" x14ac:dyDescent="0.3">
      <c r="A82" t="s">
        <v>327</v>
      </c>
      <c r="B82" t="s">
        <v>756</v>
      </c>
      <c r="C82" s="235">
        <v>0</v>
      </c>
      <c r="D82" s="263">
        <v>0</v>
      </c>
      <c r="E82" s="263"/>
      <c r="F82" s="235">
        <v>0</v>
      </c>
      <c r="G82" s="235">
        <v>0</v>
      </c>
      <c r="H82" s="235">
        <v>5685</v>
      </c>
      <c r="I82" s="235">
        <v>5685</v>
      </c>
      <c r="J82" s="235">
        <v>5685</v>
      </c>
      <c r="K82" s="235">
        <v>5685</v>
      </c>
      <c r="L82" s="297">
        <v>5685</v>
      </c>
      <c r="M82" s="297">
        <v>5685</v>
      </c>
      <c r="N82" s="297">
        <v>0</v>
      </c>
      <c r="T82" s="235" t="s">
        <v>969</v>
      </c>
      <c r="U82" t="s">
        <v>68</v>
      </c>
      <c r="V82" t="s">
        <v>610</v>
      </c>
    </row>
    <row r="83" spans="1:22" x14ac:dyDescent="0.3">
      <c r="A83" t="s">
        <v>328</v>
      </c>
      <c r="B83" t="s">
        <v>603</v>
      </c>
      <c r="C83" s="235">
        <v>516063.02</v>
      </c>
      <c r="D83" s="263">
        <v>655610.93000000005</v>
      </c>
      <c r="E83" s="263">
        <v>696795.71</v>
      </c>
      <c r="F83" s="235">
        <v>672566.98</v>
      </c>
      <c r="G83" s="235">
        <v>728276.39</v>
      </c>
      <c r="H83" s="235">
        <v>692925.38</v>
      </c>
      <c r="I83" s="235">
        <v>641286.78</v>
      </c>
      <c r="J83" s="235">
        <v>586363.72</v>
      </c>
      <c r="K83" s="235">
        <v>547898.82999999996</v>
      </c>
      <c r="L83" s="297">
        <v>480411.29</v>
      </c>
      <c r="M83" s="297">
        <v>417963.11</v>
      </c>
      <c r="N83" s="297">
        <v>373548.81</v>
      </c>
      <c r="T83" s="235" t="s">
        <v>969</v>
      </c>
      <c r="U83" t="s">
        <v>68</v>
      </c>
      <c r="V83" t="s">
        <v>875</v>
      </c>
    </row>
    <row r="84" spans="1:22" x14ac:dyDescent="0.3">
      <c r="A84" t="s">
        <v>462</v>
      </c>
      <c r="B84" t="s">
        <v>604</v>
      </c>
      <c r="C84" s="235">
        <v>4982.83</v>
      </c>
      <c r="D84" s="263">
        <v>6277.86</v>
      </c>
      <c r="E84" s="263">
        <v>8730.41</v>
      </c>
      <c r="F84" s="235">
        <v>13230.41</v>
      </c>
      <c r="G84" s="235">
        <v>7825.12</v>
      </c>
      <c r="H84" s="235">
        <v>2497.27</v>
      </c>
      <c r="I84" s="235">
        <v>7002.69</v>
      </c>
      <c r="J84" s="235">
        <v>3623.5</v>
      </c>
      <c r="K84" s="235">
        <v>6186.89</v>
      </c>
      <c r="L84" s="297">
        <v>3580.27</v>
      </c>
      <c r="M84" s="297">
        <v>15330.27</v>
      </c>
      <c r="N84" s="297">
        <v>3935.27</v>
      </c>
      <c r="T84" s="235" t="s">
        <v>969</v>
      </c>
      <c r="U84" t="s">
        <v>68</v>
      </c>
      <c r="V84" t="s">
        <v>877</v>
      </c>
    </row>
    <row r="85" spans="1:22" x14ac:dyDescent="0.3">
      <c r="A85" t="s">
        <v>329</v>
      </c>
      <c r="B85" t="s">
        <v>626</v>
      </c>
      <c r="C85" s="235">
        <v>-79164962.219999999</v>
      </c>
      <c r="D85" s="263">
        <v>-79164962.219999999</v>
      </c>
      <c r="E85" s="263">
        <v>-79164962.219999999</v>
      </c>
      <c r="F85" s="235">
        <v>-79164962.219999999</v>
      </c>
      <c r="G85" s="235">
        <v>-79164962.219999999</v>
      </c>
      <c r="H85" s="235">
        <v>-79164962.219999999</v>
      </c>
      <c r="I85" s="235">
        <v>-79164962.219999999</v>
      </c>
      <c r="J85" s="235">
        <v>-79164962.219999999</v>
      </c>
      <c r="K85" s="235">
        <v>-79164962.219999999</v>
      </c>
      <c r="L85" s="297">
        <v>-79164962.219999999</v>
      </c>
      <c r="M85" s="297">
        <v>-79164962.219999999</v>
      </c>
      <c r="N85" s="297">
        <v>-79164962.219999999</v>
      </c>
      <c r="T85" s="235" t="s">
        <v>969</v>
      </c>
      <c r="U85" t="s">
        <v>68</v>
      </c>
      <c r="V85" t="s">
        <v>879</v>
      </c>
    </row>
    <row r="86" spans="1:22" x14ac:dyDescent="0.3">
      <c r="A86" s="274" t="s">
        <v>1028</v>
      </c>
      <c r="B86" s="274" t="s">
        <v>1029</v>
      </c>
      <c r="D86" s="263"/>
      <c r="E86" s="263"/>
      <c r="F86" s="235">
        <v>20000000</v>
      </c>
      <c r="G86" s="235">
        <v>20000000</v>
      </c>
      <c r="H86" s="235">
        <v>20000000</v>
      </c>
      <c r="I86" s="235">
        <v>20000000</v>
      </c>
      <c r="J86" s="235">
        <v>20000000</v>
      </c>
      <c r="K86" s="235">
        <v>20000000</v>
      </c>
      <c r="L86" s="297">
        <v>20000000</v>
      </c>
      <c r="M86" s="297">
        <v>20000000</v>
      </c>
      <c r="N86" s="297">
        <v>20000000</v>
      </c>
    </row>
    <row r="87" spans="1:22" x14ac:dyDescent="0.3">
      <c r="A87" t="s">
        <v>330</v>
      </c>
      <c r="B87" t="s">
        <v>627</v>
      </c>
      <c r="C87" s="235">
        <v>22190317.75</v>
      </c>
      <c r="D87" s="263">
        <v>22190317.75</v>
      </c>
      <c r="E87" s="263">
        <v>22190317.75</v>
      </c>
      <c r="F87" s="235">
        <v>22190317.75</v>
      </c>
      <c r="G87" s="235">
        <v>22190317.75</v>
      </c>
      <c r="H87" s="235">
        <v>22190317.75</v>
      </c>
      <c r="I87" s="235">
        <v>22190317.75</v>
      </c>
      <c r="J87" s="235">
        <v>22190317.75</v>
      </c>
      <c r="K87" s="235">
        <v>22190317.75</v>
      </c>
      <c r="L87" s="297">
        <v>22190317.75</v>
      </c>
      <c r="M87" s="297">
        <v>22190317.75</v>
      </c>
      <c r="N87" s="297">
        <v>22190317.75</v>
      </c>
      <c r="T87" s="235" t="s">
        <v>969</v>
      </c>
      <c r="U87" t="s">
        <v>68</v>
      </c>
      <c r="V87" t="s">
        <v>881</v>
      </c>
    </row>
    <row r="88" spans="1:22" x14ac:dyDescent="0.3">
      <c r="A88" t="s">
        <v>884</v>
      </c>
      <c r="B88" t="s">
        <v>885</v>
      </c>
      <c r="C88" s="235">
        <v>0</v>
      </c>
      <c r="D88" s="263">
        <v>0</v>
      </c>
      <c r="E88" s="263"/>
      <c r="F88" s="235">
        <v>0</v>
      </c>
      <c r="G88" s="235">
        <v>0</v>
      </c>
      <c r="H88" s="235">
        <v>0</v>
      </c>
      <c r="I88" s="235">
        <v>0</v>
      </c>
      <c r="J88" s="235">
        <v>0</v>
      </c>
      <c r="K88" s="235">
        <v>0</v>
      </c>
      <c r="L88" s="297">
        <v>0</v>
      </c>
      <c r="M88" s="297">
        <v>0</v>
      </c>
      <c r="N88" s="297">
        <v>0</v>
      </c>
      <c r="T88" s="235" t="s">
        <v>969</v>
      </c>
      <c r="U88" t="s">
        <v>68</v>
      </c>
      <c r="V88" t="s">
        <v>69</v>
      </c>
    </row>
    <row r="89" spans="1:22" x14ac:dyDescent="0.3">
      <c r="A89" t="s">
        <v>331</v>
      </c>
      <c r="B89" t="s">
        <v>628</v>
      </c>
      <c r="C89" s="235">
        <v>-2500000</v>
      </c>
      <c r="D89" s="263">
        <v>-2500000</v>
      </c>
      <c r="E89" s="263">
        <v>-2500000</v>
      </c>
      <c r="F89" s="235">
        <v>-2500000</v>
      </c>
      <c r="G89" s="235">
        <v>-2500000</v>
      </c>
      <c r="H89" s="235">
        <v>-2500000</v>
      </c>
      <c r="I89" s="235">
        <v>-2500000</v>
      </c>
      <c r="J89" s="235">
        <v>-2500000</v>
      </c>
      <c r="K89" s="235">
        <v>-2500000</v>
      </c>
      <c r="L89" s="297">
        <v>-2500000</v>
      </c>
      <c r="M89" s="297">
        <v>-2500000</v>
      </c>
      <c r="N89" s="297">
        <v>-2500000</v>
      </c>
      <c r="T89" s="235" t="s">
        <v>969</v>
      </c>
      <c r="U89" t="s">
        <v>68</v>
      </c>
      <c r="V89" t="s">
        <v>733</v>
      </c>
    </row>
    <row r="90" spans="1:22" x14ac:dyDescent="0.3">
      <c r="A90" t="s">
        <v>332</v>
      </c>
      <c r="B90" t="s">
        <v>629</v>
      </c>
      <c r="C90" s="235">
        <v>-367.06</v>
      </c>
      <c r="D90" s="263">
        <v>-241.93</v>
      </c>
      <c r="E90" s="263">
        <v>-40342.730000000003</v>
      </c>
      <c r="F90" s="235">
        <v>48169.63</v>
      </c>
      <c r="G90" s="235">
        <v>48169.63</v>
      </c>
      <c r="H90" s="235">
        <v>-241.93</v>
      </c>
      <c r="I90" s="235">
        <v>-241.93</v>
      </c>
      <c r="J90" s="235">
        <v>-241.93</v>
      </c>
      <c r="K90" s="235">
        <v>-241.93</v>
      </c>
      <c r="L90" s="297">
        <v>-241.93</v>
      </c>
      <c r="M90" s="297">
        <v>-241.93</v>
      </c>
      <c r="N90" s="297">
        <v>-241.93</v>
      </c>
      <c r="T90" s="235" t="s">
        <v>969</v>
      </c>
      <c r="U90" t="s">
        <v>67</v>
      </c>
      <c r="V90" t="s">
        <v>894</v>
      </c>
    </row>
    <row r="91" spans="1:22" x14ac:dyDescent="0.3">
      <c r="A91" s="271" t="s">
        <v>605</v>
      </c>
      <c r="B91" t="s">
        <v>606</v>
      </c>
      <c r="C91" s="235">
        <v>-13888572.390000001</v>
      </c>
      <c r="D91" s="263">
        <v>-10203860.24</v>
      </c>
      <c r="E91" s="263">
        <v>-5847713.5899999999</v>
      </c>
      <c r="F91" s="235">
        <v>-5162242.4800000004</v>
      </c>
      <c r="G91" s="235">
        <v>-3189021.61</v>
      </c>
      <c r="H91" s="235">
        <v>-3044600.14</v>
      </c>
      <c r="I91" s="235">
        <v>-7006878.0099999998</v>
      </c>
      <c r="J91" s="235">
        <v>-7425722.8099999996</v>
      </c>
      <c r="K91" s="235">
        <v>-4600997.05</v>
      </c>
      <c r="L91" s="297">
        <v>-2249425.85</v>
      </c>
      <c r="M91" s="297">
        <v>-3961947.54</v>
      </c>
      <c r="N91" s="297">
        <v>-3667050.79</v>
      </c>
      <c r="T91" s="235" t="s">
        <v>969</v>
      </c>
      <c r="V91" t="s">
        <v>732</v>
      </c>
    </row>
    <row r="92" spans="1:22" x14ac:dyDescent="0.3">
      <c r="A92" t="s">
        <v>333</v>
      </c>
      <c r="B92" t="s">
        <v>742</v>
      </c>
      <c r="C92" s="235">
        <v>1535054</v>
      </c>
      <c r="D92" s="263">
        <v>1535054</v>
      </c>
      <c r="E92" s="263">
        <v>1535054</v>
      </c>
      <c r="F92" s="235">
        <v>1535054</v>
      </c>
      <c r="G92" s="235">
        <v>1535054</v>
      </c>
      <c r="H92" s="235">
        <v>1535054</v>
      </c>
      <c r="I92" s="235">
        <v>1535054</v>
      </c>
      <c r="J92" s="235">
        <v>1535054</v>
      </c>
      <c r="K92" s="235">
        <v>1535054</v>
      </c>
      <c r="L92" s="297">
        <v>1535054</v>
      </c>
      <c r="M92" s="297">
        <v>1535054</v>
      </c>
      <c r="N92" s="297">
        <v>1535054</v>
      </c>
      <c r="T92" s="235" t="s">
        <v>969</v>
      </c>
      <c r="U92" t="s">
        <v>72</v>
      </c>
      <c r="V92" t="s">
        <v>825</v>
      </c>
    </row>
    <row r="93" spans="1:22" x14ac:dyDescent="0.3">
      <c r="A93" t="s">
        <v>334</v>
      </c>
      <c r="B93" t="s">
        <v>743</v>
      </c>
      <c r="C93" s="235">
        <v>-1476379</v>
      </c>
      <c r="D93" s="263">
        <v>-1476379</v>
      </c>
      <c r="E93" s="263">
        <v>-1476379</v>
      </c>
      <c r="F93" s="235">
        <v>-1476379</v>
      </c>
      <c r="G93" s="235">
        <v>-1476379</v>
      </c>
      <c r="H93" s="235">
        <v>-1476379</v>
      </c>
      <c r="I93" s="235">
        <v>-1476379</v>
      </c>
      <c r="J93" s="235">
        <v>-1476379</v>
      </c>
      <c r="K93" s="235">
        <v>-1476379</v>
      </c>
      <c r="L93" s="297">
        <v>-1476379</v>
      </c>
      <c r="M93" s="297">
        <v>-1476379</v>
      </c>
      <c r="N93" s="297">
        <v>-1476379</v>
      </c>
      <c r="T93" s="235" t="s">
        <v>969</v>
      </c>
      <c r="U93" t="s">
        <v>72</v>
      </c>
      <c r="V93" t="s">
        <v>826</v>
      </c>
    </row>
    <row r="94" spans="1:22" x14ac:dyDescent="0.3">
      <c r="A94" t="s">
        <v>607</v>
      </c>
      <c r="B94" t="s">
        <v>608</v>
      </c>
      <c r="C94" s="235">
        <v>0</v>
      </c>
      <c r="D94" s="263">
        <v>0</v>
      </c>
      <c r="E94" s="263"/>
      <c r="F94" s="235">
        <v>0</v>
      </c>
      <c r="G94" s="235">
        <v>0</v>
      </c>
      <c r="H94" s="235">
        <v>0</v>
      </c>
      <c r="I94" s="235">
        <v>0</v>
      </c>
      <c r="J94" s="235">
        <v>0</v>
      </c>
      <c r="K94" s="235">
        <v>0</v>
      </c>
      <c r="L94" s="297">
        <v>0</v>
      </c>
      <c r="M94" s="297">
        <v>0</v>
      </c>
      <c r="N94" s="297">
        <v>0</v>
      </c>
      <c r="T94" s="235" t="s">
        <v>969</v>
      </c>
      <c r="U94" t="s">
        <v>72</v>
      </c>
      <c r="V94" t="s">
        <v>853</v>
      </c>
    </row>
    <row r="95" spans="1:22" x14ac:dyDescent="0.3">
      <c r="A95" t="s">
        <v>997</v>
      </c>
      <c r="B95" t="s">
        <v>1010</v>
      </c>
      <c r="C95" s="235">
        <v>0</v>
      </c>
      <c r="D95" s="263">
        <v>0</v>
      </c>
      <c r="E95" s="263"/>
      <c r="F95" s="235">
        <v>0</v>
      </c>
      <c r="G95" s="235">
        <v>0</v>
      </c>
      <c r="H95" s="235">
        <v>0</v>
      </c>
      <c r="I95" s="235">
        <v>0</v>
      </c>
      <c r="J95" s="235">
        <v>0</v>
      </c>
      <c r="K95" s="235">
        <v>0</v>
      </c>
      <c r="L95" s="297">
        <v>0</v>
      </c>
      <c r="M95" s="297">
        <v>0</v>
      </c>
      <c r="N95" s="297">
        <v>0</v>
      </c>
      <c r="T95" s="235" t="s">
        <v>969</v>
      </c>
      <c r="U95" t="s">
        <v>67</v>
      </c>
      <c r="V95" t="s">
        <v>919</v>
      </c>
    </row>
    <row r="96" spans="1:22" x14ac:dyDescent="0.3">
      <c r="A96" t="s">
        <v>981</v>
      </c>
      <c r="B96" t="s">
        <v>982</v>
      </c>
      <c r="C96" s="235">
        <v>191469.12</v>
      </c>
      <c r="D96" s="263">
        <v>0</v>
      </c>
      <c r="E96" s="263"/>
      <c r="F96" s="235">
        <v>0</v>
      </c>
      <c r="G96" s="235">
        <v>0</v>
      </c>
      <c r="H96" s="235">
        <v>0</v>
      </c>
      <c r="I96" s="235">
        <v>0</v>
      </c>
      <c r="J96" s="235">
        <v>0</v>
      </c>
      <c r="K96" s="235">
        <v>0</v>
      </c>
      <c r="L96" s="297">
        <v>0</v>
      </c>
      <c r="M96" s="297">
        <v>0</v>
      </c>
      <c r="N96" s="297">
        <v>0</v>
      </c>
      <c r="T96" s="235" t="s">
        <v>969</v>
      </c>
      <c r="V96" t="s">
        <v>796</v>
      </c>
    </row>
    <row r="97" spans="1:22" x14ac:dyDescent="0.3">
      <c r="A97" t="s">
        <v>880</v>
      </c>
      <c r="B97" t="s">
        <v>881</v>
      </c>
      <c r="C97" s="235">
        <v>-3674.6</v>
      </c>
      <c r="D97" s="263">
        <v>-3674.6</v>
      </c>
      <c r="E97" s="263">
        <v>-3674.6</v>
      </c>
      <c r="F97" s="235">
        <v>-3674.6</v>
      </c>
      <c r="G97" s="235">
        <v>-3674.6</v>
      </c>
      <c r="H97" s="235">
        <v>-3674.6</v>
      </c>
      <c r="I97" s="235">
        <v>-3674.6</v>
      </c>
      <c r="J97" s="235">
        <v>-3674.6</v>
      </c>
      <c r="K97" s="235">
        <v>-3674.6</v>
      </c>
      <c r="L97" s="297">
        <v>-3674.6</v>
      </c>
      <c r="M97" s="297">
        <v>-3674.6</v>
      </c>
      <c r="N97" s="297">
        <v>-3674.6</v>
      </c>
      <c r="T97" s="235" t="s">
        <v>969</v>
      </c>
      <c r="V97" t="s">
        <v>796</v>
      </c>
    </row>
    <row r="98" spans="1:22" x14ac:dyDescent="0.3">
      <c r="A98" t="s">
        <v>609</v>
      </c>
      <c r="B98" t="s">
        <v>610</v>
      </c>
      <c r="C98" s="235">
        <v>0</v>
      </c>
      <c r="D98" s="263">
        <v>0</v>
      </c>
      <c r="E98" s="263"/>
      <c r="F98" s="235">
        <v>0</v>
      </c>
      <c r="G98" s="235">
        <v>0</v>
      </c>
      <c r="H98" s="235">
        <v>0</v>
      </c>
      <c r="I98" s="235">
        <v>0</v>
      </c>
      <c r="J98" s="235">
        <v>0</v>
      </c>
      <c r="K98" s="235">
        <v>0</v>
      </c>
      <c r="L98" s="297">
        <v>0</v>
      </c>
      <c r="M98" s="297">
        <v>0</v>
      </c>
      <c r="N98" s="297">
        <v>0</v>
      </c>
    </row>
    <row r="99" spans="1:22" x14ac:dyDescent="0.3">
      <c r="A99" t="s">
        <v>874</v>
      </c>
      <c r="B99" t="s">
        <v>875</v>
      </c>
      <c r="C99" s="235">
        <v>-68931.91</v>
      </c>
      <c r="D99" s="263">
        <v>-74976.179999999993</v>
      </c>
      <c r="E99" s="263">
        <v>-86616.59</v>
      </c>
      <c r="F99" s="235">
        <v>-86616.59</v>
      </c>
      <c r="G99" s="235">
        <v>-86616.59</v>
      </c>
      <c r="H99" s="235">
        <v>-86616.59</v>
      </c>
      <c r="I99" s="235">
        <v>-71660.39</v>
      </c>
      <c r="J99" s="235">
        <v>-71660.39</v>
      </c>
      <c r="K99" s="235">
        <v>-71660.39</v>
      </c>
      <c r="L99" s="297">
        <v>-71660.39</v>
      </c>
      <c r="M99" s="297">
        <v>-71660.39</v>
      </c>
      <c r="N99" s="297">
        <v>-71660.39</v>
      </c>
    </row>
    <row r="100" spans="1:22" x14ac:dyDescent="0.3">
      <c r="A100" t="s">
        <v>876</v>
      </c>
      <c r="B100" t="s">
        <v>877</v>
      </c>
      <c r="C100" s="235">
        <v>-57120.160000000003</v>
      </c>
      <c r="D100" s="263">
        <v>-3578.99</v>
      </c>
      <c r="E100" s="263">
        <v>-3578.99</v>
      </c>
      <c r="F100" s="235">
        <v>-19773.900000000001</v>
      </c>
      <c r="G100" s="235">
        <v>-15684.12</v>
      </c>
      <c r="H100" s="235">
        <v>-15684.12</v>
      </c>
      <c r="I100" s="235">
        <v>-13537.16</v>
      </c>
      <c r="J100" s="235">
        <v>-13537.16</v>
      </c>
      <c r="K100" s="235">
        <v>-13537.16</v>
      </c>
      <c r="L100" s="297">
        <v>-13537.16</v>
      </c>
      <c r="M100" s="297">
        <v>0</v>
      </c>
      <c r="N100" s="297">
        <v>0</v>
      </c>
    </row>
    <row r="101" spans="1:22" x14ac:dyDescent="0.3">
      <c r="A101" t="s">
        <v>878</v>
      </c>
      <c r="B101" t="s">
        <v>879</v>
      </c>
      <c r="C101" s="235">
        <v>-7483.16</v>
      </c>
      <c r="D101" s="263">
        <v>-20261.23</v>
      </c>
      <c r="E101" s="263">
        <v>0</v>
      </c>
      <c r="F101" s="235">
        <v>-14012.68</v>
      </c>
      <c r="G101" s="235">
        <v>-5773.11</v>
      </c>
      <c r="H101" s="235">
        <v>-12799</v>
      </c>
      <c r="I101" s="235">
        <v>221.06</v>
      </c>
      <c r="J101" s="235">
        <v>-2772.66</v>
      </c>
      <c r="K101" s="235">
        <v>-2676.72</v>
      </c>
      <c r="L101" s="297">
        <v>0</v>
      </c>
      <c r="M101" s="297">
        <v>0</v>
      </c>
      <c r="N101" s="297">
        <v>-2573.63</v>
      </c>
    </row>
    <row r="102" spans="1:22" x14ac:dyDescent="0.3">
      <c r="A102" t="s">
        <v>335</v>
      </c>
      <c r="B102" t="s">
        <v>611</v>
      </c>
      <c r="C102" s="235">
        <v>-142401.51999999999</v>
      </c>
      <c r="D102" s="263">
        <v>-154027</v>
      </c>
      <c r="E102" s="263">
        <v>-172517.68</v>
      </c>
      <c r="F102" s="235">
        <v>-242234.07</v>
      </c>
      <c r="G102" s="235">
        <v>-157341.81</v>
      </c>
      <c r="H102" s="235">
        <v>-148887.06</v>
      </c>
      <c r="I102" s="235">
        <v>-137923.17000000001</v>
      </c>
      <c r="J102" s="235">
        <v>-160825.71</v>
      </c>
      <c r="K102" s="235">
        <v>-135544.32000000001</v>
      </c>
      <c r="L102" s="297">
        <v>-213477.22</v>
      </c>
      <c r="M102" s="297">
        <v>-142319.20000000001</v>
      </c>
      <c r="N102" s="297">
        <v>-185201.81</v>
      </c>
    </row>
    <row r="103" spans="1:22" x14ac:dyDescent="0.3">
      <c r="A103" s="274" t="s">
        <v>1030</v>
      </c>
      <c r="B103" s="274" t="s">
        <v>699</v>
      </c>
      <c r="D103" s="263"/>
      <c r="E103" s="263"/>
      <c r="F103" s="235">
        <v>-2494.4899999999998</v>
      </c>
      <c r="G103" s="235">
        <v>-1554.82</v>
      </c>
      <c r="H103" s="235">
        <v>-1520.64</v>
      </c>
      <c r="I103" s="235">
        <v>-2024.77</v>
      </c>
      <c r="J103" s="235">
        <v>-2066.77</v>
      </c>
      <c r="K103" s="235">
        <v>-1901.77</v>
      </c>
      <c r="L103" s="297">
        <v>-2506.7600000000002</v>
      </c>
      <c r="M103" s="297">
        <v>-2847.54</v>
      </c>
      <c r="N103" s="297">
        <v>-2579.77</v>
      </c>
    </row>
    <row r="104" spans="1:22" x14ac:dyDescent="0.3">
      <c r="A104" s="274" t="s">
        <v>1031</v>
      </c>
      <c r="B104" s="274" t="s">
        <v>1032</v>
      </c>
      <c r="D104" s="263"/>
      <c r="E104" s="263"/>
      <c r="F104" s="235">
        <v>-48411.56</v>
      </c>
      <c r="G104" s="235">
        <v>-85086.95</v>
      </c>
      <c r="H104" s="235">
        <v>-34383.839999999997</v>
      </c>
      <c r="I104" s="235">
        <v>-33347.72</v>
      </c>
      <c r="J104" s="235">
        <v>-36107.19</v>
      </c>
      <c r="K104" s="235">
        <v>-32986.03</v>
      </c>
      <c r="L104" s="297">
        <v>-41067.300000000003</v>
      </c>
      <c r="M104" s="297">
        <v>-32954.589999999997</v>
      </c>
      <c r="N104" s="297">
        <v>-38833.43</v>
      </c>
    </row>
    <row r="105" spans="1:22" x14ac:dyDescent="0.3">
      <c r="A105" t="s">
        <v>998</v>
      </c>
      <c r="B105" t="s">
        <v>1011</v>
      </c>
      <c r="C105" s="235">
        <v>0</v>
      </c>
      <c r="D105" s="263">
        <v>0</v>
      </c>
      <c r="E105" s="263"/>
      <c r="F105" s="235">
        <v>0</v>
      </c>
      <c r="G105" s="235">
        <v>0</v>
      </c>
      <c r="H105" s="235">
        <v>0</v>
      </c>
      <c r="I105" s="235">
        <v>0</v>
      </c>
      <c r="J105" s="235">
        <v>0</v>
      </c>
      <c r="K105" s="235">
        <v>0</v>
      </c>
      <c r="L105" s="297">
        <v>0</v>
      </c>
      <c r="M105" s="297">
        <v>0</v>
      </c>
      <c r="N105" s="297">
        <v>0</v>
      </c>
    </row>
    <row r="106" spans="1:22" x14ac:dyDescent="0.3">
      <c r="A106" t="s">
        <v>336</v>
      </c>
      <c r="B106" t="s">
        <v>612</v>
      </c>
      <c r="C106" s="235">
        <v>0</v>
      </c>
      <c r="D106" s="263">
        <v>-467.55</v>
      </c>
      <c r="E106" s="263">
        <v>-970.87</v>
      </c>
      <c r="F106" s="235">
        <v>-147.34</v>
      </c>
      <c r="G106" s="235">
        <v>-528.07000000000005</v>
      </c>
      <c r="H106" s="235">
        <v>-1064.0899999999999</v>
      </c>
      <c r="I106" s="235">
        <v>-43.76</v>
      </c>
      <c r="J106" s="235">
        <v>-637.67999999999995</v>
      </c>
      <c r="K106" s="235">
        <v>0</v>
      </c>
      <c r="L106" s="297">
        <v>0</v>
      </c>
      <c r="M106" s="297">
        <v>-82.76</v>
      </c>
      <c r="N106" s="297">
        <v>0</v>
      </c>
    </row>
    <row r="107" spans="1:22" x14ac:dyDescent="0.3">
      <c r="A107" t="s">
        <v>893</v>
      </c>
      <c r="B107" t="s">
        <v>894</v>
      </c>
      <c r="C107" s="235">
        <v>-913061.98</v>
      </c>
      <c r="D107" s="263">
        <v>-988038.82</v>
      </c>
      <c r="E107" s="263">
        <v>-1004941.29</v>
      </c>
      <c r="F107" s="235">
        <v>-1155397.67</v>
      </c>
      <c r="G107" s="235">
        <v>-1150979.1599999999</v>
      </c>
      <c r="H107" s="235">
        <v>-1150979.1599999999</v>
      </c>
      <c r="I107" s="235">
        <v>-1150979.1599999999</v>
      </c>
      <c r="J107" s="235">
        <v>-1795446.3</v>
      </c>
      <c r="K107" s="235">
        <v>-1749689.66</v>
      </c>
      <c r="L107" s="297">
        <v>-1749689.66</v>
      </c>
      <c r="M107" s="297">
        <v>-1749689.66</v>
      </c>
      <c r="N107" s="297">
        <v>-54606.96</v>
      </c>
      <c r="T107" s="235" t="s">
        <v>969</v>
      </c>
      <c r="U107" t="s">
        <v>67</v>
      </c>
      <c r="V107" t="s">
        <v>619</v>
      </c>
    </row>
    <row r="108" spans="1:22" x14ac:dyDescent="0.3">
      <c r="A108" t="s">
        <v>613</v>
      </c>
      <c r="B108" t="s">
        <v>614</v>
      </c>
      <c r="C108" s="235">
        <v>0</v>
      </c>
      <c r="D108" s="263">
        <v>0</v>
      </c>
      <c r="E108" s="263"/>
      <c r="F108" s="235">
        <v>0</v>
      </c>
      <c r="G108" s="235">
        <v>0</v>
      </c>
      <c r="H108" s="235">
        <v>0</v>
      </c>
      <c r="I108" s="235">
        <v>0</v>
      </c>
      <c r="J108" s="235">
        <v>0</v>
      </c>
      <c r="K108" s="235">
        <v>0</v>
      </c>
      <c r="L108" s="297">
        <v>0</v>
      </c>
      <c r="M108" s="297">
        <v>0</v>
      </c>
      <c r="N108" s="297">
        <v>0</v>
      </c>
      <c r="T108" s="235" t="s">
        <v>969</v>
      </c>
      <c r="U108" t="s">
        <v>67</v>
      </c>
      <c r="V108" t="s">
        <v>620</v>
      </c>
    </row>
    <row r="109" spans="1:22" x14ac:dyDescent="0.3">
      <c r="A109" t="s">
        <v>999</v>
      </c>
      <c r="B109" t="s">
        <v>1012</v>
      </c>
      <c r="C109" s="235">
        <v>0</v>
      </c>
      <c r="D109" s="263">
        <v>0</v>
      </c>
      <c r="E109" s="263"/>
      <c r="F109" s="235">
        <v>0</v>
      </c>
      <c r="G109" s="235">
        <v>0</v>
      </c>
      <c r="H109" s="235">
        <v>0</v>
      </c>
      <c r="I109" s="235">
        <v>0</v>
      </c>
      <c r="J109" s="235">
        <v>0</v>
      </c>
      <c r="K109" s="235">
        <v>0</v>
      </c>
      <c r="L109" s="297">
        <v>0</v>
      </c>
      <c r="M109" s="297">
        <v>0</v>
      </c>
      <c r="N109" s="297">
        <v>0</v>
      </c>
      <c r="T109" s="235" t="s">
        <v>969</v>
      </c>
      <c r="U109" t="s">
        <v>67</v>
      </c>
      <c r="V109" t="s">
        <v>621</v>
      </c>
    </row>
    <row r="110" spans="1:22" x14ac:dyDescent="0.3">
      <c r="A110" t="s">
        <v>987</v>
      </c>
      <c r="B110" t="s">
        <v>988</v>
      </c>
      <c r="C110" s="235">
        <v>0</v>
      </c>
      <c r="D110" s="263">
        <v>0</v>
      </c>
      <c r="E110" s="263"/>
      <c r="F110" s="235">
        <v>0</v>
      </c>
      <c r="G110" s="235">
        <v>0</v>
      </c>
      <c r="H110" s="235">
        <v>0</v>
      </c>
      <c r="I110" s="235">
        <v>0</v>
      </c>
      <c r="J110" s="235">
        <v>0</v>
      </c>
      <c r="K110" s="235">
        <v>0</v>
      </c>
      <c r="L110" s="297">
        <v>0</v>
      </c>
      <c r="M110" s="297">
        <v>0</v>
      </c>
      <c r="N110" s="297">
        <v>0</v>
      </c>
      <c r="T110" s="235" t="s">
        <v>969</v>
      </c>
      <c r="U110" t="s">
        <v>67</v>
      </c>
      <c r="V110" t="s">
        <v>622</v>
      </c>
    </row>
    <row r="111" spans="1:22" x14ac:dyDescent="0.3">
      <c r="A111" t="s">
        <v>843</v>
      </c>
      <c r="B111" t="s">
        <v>844</v>
      </c>
      <c r="C111" s="235">
        <v>-420904.45</v>
      </c>
      <c r="D111" s="263">
        <v>-410950.74</v>
      </c>
      <c r="E111" s="263">
        <v>-386150.52</v>
      </c>
      <c r="F111" s="235">
        <v>-375050.79</v>
      </c>
      <c r="G111" s="235">
        <v>-379133.63</v>
      </c>
      <c r="H111" s="235">
        <v>-437898.25</v>
      </c>
      <c r="I111" s="235">
        <v>-419030.71</v>
      </c>
      <c r="J111" s="235">
        <v>-470889.41</v>
      </c>
      <c r="K111" s="235">
        <v>-459822.75</v>
      </c>
      <c r="L111" s="297">
        <v>-448371.1</v>
      </c>
      <c r="M111" s="297">
        <v>-441326.74</v>
      </c>
      <c r="N111" s="297">
        <v>-426156.19</v>
      </c>
      <c r="T111" s="235" t="s">
        <v>969</v>
      </c>
      <c r="U111" t="s">
        <v>67</v>
      </c>
      <c r="V111" t="e">
        <v>#N/A</v>
      </c>
    </row>
    <row r="112" spans="1:22" x14ac:dyDescent="0.3">
      <c r="A112" t="s">
        <v>864</v>
      </c>
      <c r="B112" t="s">
        <v>865</v>
      </c>
      <c r="C112" s="235">
        <v>-2061645.06</v>
      </c>
      <c r="D112" s="263">
        <v>-2363681.85</v>
      </c>
      <c r="E112" s="263">
        <v>-3539143.88</v>
      </c>
      <c r="F112" s="235">
        <v>-4165692.5</v>
      </c>
      <c r="G112" s="235">
        <v>-3568470.9</v>
      </c>
      <c r="H112" s="235">
        <v>-3256381.59</v>
      </c>
      <c r="I112" s="235">
        <v>-2722133.47</v>
      </c>
      <c r="J112" s="235">
        <v>-3848361.8</v>
      </c>
      <c r="K112" s="235">
        <v>-1548783.65</v>
      </c>
      <c r="L112" s="297">
        <v>-2183869</v>
      </c>
      <c r="M112" s="297">
        <v>-1675212.04</v>
      </c>
      <c r="N112" s="297">
        <v>-1784103.83</v>
      </c>
      <c r="T112" s="235" t="s">
        <v>969</v>
      </c>
      <c r="U112" t="s">
        <v>67</v>
      </c>
      <c r="V112" t="s">
        <v>623</v>
      </c>
    </row>
    <row r="113" spans="1:22" x14ac:dyDescent="0.3">
      <c r="A113" t="s">
        <v>866</v>
      </c>
      <c r="B113" t="s">
        <v>867</v>
      </c>
      <c r="C113" s="235">
        <v>-982415.9</v>
      </c>
      <c r="D113" s="263">
        <v>-968881.56</v>
      </c>
      <c r="E113" s="263">
        <v>-572554.35</v>
      </c>
      <c r="F113" s="235">
        <v>-891251.64</v>
      </c>
      <c r="G113" s="235">
        <v>-766987.69</v>
      </c>
      <c r="H113" s="235">
        <v>-671128.1</v>
      </c>
      <c r="I113" s="235">
        <v>-1187194.3</v>
      </c>
      <c r="J113" s="235">
        <v>-569505.96</v>
      </c>
      <c r="K113" s="235">
        <v>-473276.98</v>
      </c>
      <c r="L113" s="297">
        <v>-420786.84</v>
      </c>
      <c r="M113" s="297">
        <v>-227033.48</v>
      </c>
      <c r="N113" s="297">
        <v>-141929.26999999999</v>
      </c>
      <c r="T113" s="235" t="s">
        <v>969</v>
      </c>
      <c r="U113" t="s">
        <v>67</v>
      </c>
      <c r="V113" t="e">
        <v>#N/A</v>
      </c>
    </row>
    <row r="114" spans="1:22" x14ac:dyDescent="0.3">
      <c r="A114" t="s">
        <v>918</v>
      </c>
      <c r="B114" t="s">
        <v>919</v>
      </c>
      <c r="C114" s="235">
        <v>-250000</v>
      </c>
      <c r="D114" s="263">
        <v>-250000</v>
      </c>
      <c r="E114" s="263">
        <v>-250000</v>
      </c>
      <c r="F114" s="235">
        <v>-250000</v>
      </c>
      <c r="G114" s="235">
        <v>-250000</v>
      </c>
      <c r="H114" s="235">
        <v>-250000</v>
      </c>
      <c r="I114" s="235">
        <v>0</v>
      </c>
      <c r="J114" s="235">
        <v>0</v>
      </c>
      <c r="K114" s="235">
        <v>0</v>
      </c>
      <c r="L114" s="297">
        <v>0</v>
      </c>
      <c r="M114" s="297">
        <v>0</v>
      </c>
      <c r="N114" s="297">
        <v>0</v>
      </c>
      <c r="T114" s="235" t="s">
        <v>969</v>
      </c>
      <c r="U114" t="s">
        <v>67</v>
      </c>
      <c r="V114" t="e">
        <v>#N/A</v>
      </c>
    </row>
    <row r="115" spans="1:22" x14ac:dyDescent="0.3">
      <c r="A115" t="s">
        <v>615</v>
      </c>
      <c r="B115" t="s">
        <v>616</v>
      </c>
      <c r="C115" s="235">
        <v>0</v>
      </c>
      <c r="D115" s="263">
        <v>0</v>
      </c>
      <c r="E115" s="263"/>
      <c r="F115" s="235">
        <v>0</v>
      </c>
      <c r="G115" s="235">
        <v>0</v>
      </c>
      <c r="H115" s="235">
        <v>0</v>
      </c>
      <c r="I115" s="235">
        <v>0</v>
      </c>
      <c r="J115" s="235">
        <v>0</v>
      </c>
      <c r="K115" s="235">
        <v>0</v>
      </c>
      <c r="L115" s="297">
        <v>0</v>
      </c>
      <c r="M115" s="297">
        <v>0</v>
      </c>
      <c r="N115" s="297">
        <v>0</v>
      </c>
      <c r="T115" s="235" t="s">
        <v>969</v>
      </c>
      <c r="U115" t="s">
        <v>964</v>
      </c>
      <c r="V115" t="s">
        <v>625</v>
      </c>
    </row>
    <row r="116" spans="1:22" x14ac:dyDescent="0.3">
      <c r="A116" t="s">
        <v>617</v>
      </c>
      <c r="B116" t="s">
        <v>618</v>
      </c>
      <c r="C116" s="235">
        <v>0</v>
      </c>
      <c r="D116" s="263">
        <v>0</v>
      </c>
      <c r="E116" s="263"/>
      <c r="F116" s="235">
        <v>0</v>
      </c>
      <c r="G116" s="235">
        <v>0</v>
      </c>
      <c r="H116" s="235">
        <v>0</v>
      </c>
      <c r="I116" s="235">
        <v>0</v>
      </c>
      <c r="J116" s="235">
        <v>0</v>
      </c>
      <c r="K116" s="235">
        <v>0</v>
      </c>
      <c r="L116" s="297">
        <v>0</v>
      </c>
      <c r="M116" s="297">
        <v>0</v>
      </c>
      <c r="N116" s="297">
        <v>0</v>
      </c>
      <c r="T116" s="235" t="s">
        <v>969</v>
      </c>
      <c r="U116" t="s">
        <v>964</v>
      </c>
      <c r="V116" t="s">
        <v>761</v>
      </c>
    </row>
    <row r="117" spans="1:22" x14ac:dyDescent="0.3">
      <c r="A117" t="s">
        <v>337</v>
      </c>
      <c r="B117" t="s">
        <v>619</v>
      </c>
      <c r="C117" s="235">
        <v>-49792154.649999999</v>
      </c>
      <c r="D117" s="263">
        <v>-63264978.619999997</v>
      </c>
      <c r="E117" s="263">
        <v>-58902773.43</v>
      </c>
      <c r="F117" s="235">
        <v>-54026970.079999998</v>
      </c>
      <c r="G117" s="235">
        <v>-67264403.290000007</v>
      </c>
      <c r="H117" s="235">
        <v>-68350411.870000005</v>
      </c>
      <c r="I117" s="235">
        <v>-67995626.260000005</v>
      </c>
      <c r="J117" s="280">
        <v>-67427664.090000004</v>
      </c>
      <c r="K117" s="235">
        <v>-56000406.75</v>
      </c>
      <c r="L117" s="297">
        <v>-55114931.340000004</v>
      </c>
      <c r="M117" s="297">
        <v>-58392939.560000002</v>
      </c>
      <c r="N117" s="297">
        <v>-72107193.379999995</v>
      </c>
      <c r="T117" t="s">
        <v>965</v>
      </c>
      <c r="U117" t="s">
        <v>970</v>
      </c>
      <c r="V117" t="s">
        <v>956</v>
      </c>
    </row>
    <row r="118" spans="1:22" x14ac:dyDescent="0.3">
      <c r="A118" t="s">
        <v>338</v>
      </c>
      <c r="B118" t="s">
        <v>620</v>
      </c>
      <c r="C118" s="235">
        <v>-1000581.72</v>
      </c>
      <c r="D118" s="263">
        <v>-449938.18</v>
      </c>
      <c r="E118" s="263">
        <v>-1845343.75</v>
      </c>
      <c r="F118" s="235">
        <v>-11127591.119999999</v>
      </c>
      <c r="G118" s="235">
        <v>-1947053.72</v>
      </c>
      <c r="H118" s="235">
        <v>-1091267.8999999999</v>
      </c>
      <c r="I118" s="235">
        <v>-290045.65000000002</v>
      </c>
      <c r="J118" s="235">
        <v>-730382.36</v>
      </c>
      <c r="K118" s="235">
        <v>-845293.48</v>
      </c>
      <c r="L118" s="297">
        <v>-788071.52</v>
      </c>
      <c r="M118" s="297">
        <v>-962514.17</v>
      </c>
      <c r="N118" s="297">
        <v>-605201.81999999995</v>
      </c>
      <c r="T118" t="s">
        <v>965</v>
      </c>
      <c r="U118" t="s">
        <v>970</v>
      </c>
      <c r="V118" t="s">
        <v>957</v>
      </c>
    </row>
    <row r="119" spans="1:22" x14ac:dyDescent="0.3">
      <c r="A119" t="s">
        <v>339</v>
      </c>
      <c r="B119" t="s">
        <v>621</v>
      </c>
      <c r="C119" s="235">
        <v>0</v>
      </c>
      <c r="D119" s="263">
        <v>0</v>
      </c>
      <c r="E119" s="263"/>
      <c r="F119" s="235">
        <v>0</v>
      </c>
      <c r="G119" s="235">
        <v>0</v>
      </c>
      <c r="H119" s="235">
        <v>0</v>
      </c>
      <c r="I119" s="235">
        <v>0</v>
      </c>
      <c r="J119" s="235">
        <v>0</v>
      </c>
      <c r="K119" s="235">
        <v>0</v>
      </c>
      <c r="L119" s="297">
        <v>0</v>
      </c>
      <c r="M119" s="297">
        <v>0</v>
      </c>
      <c r="N119" s="297">
        <v>0</v>
      </c>
      <c r="T119" t="s">
        <v>965</v>
      </c>
    </row>
    <row r="120" spans="1:22" x14ac:dyDescent="0.3">
      <c r="A120" t="s">
        <v>538</v>
      </c>
      <c r="B120" t="s">
        <v>622</v>
      </c>
      <c r="C120" s="235">
        <v>0</v>
      </c>
      <c r="D120" s="263">
        <v>0</v>
      </c>
      <c r="E120" s="263"/>
      <c r="F120" s="235">
        <v>0</v>
      </c>
      <c r="G120" s="235">
        <v>0</v>
      </c>
      <c r="H120" s="235">
        <v>45.63</v>
      </c>
      <c r="I120" s="235">
        <v>0</v>
      </c>
      <c r="J120" s="235">
        <v>0</v>
      </c>
      <c r="K120" s="235">
        <v>0</v>
      </c>
      <c r="L120" s="297">
        <v>0</v>
      </c>
      <c r="M120" s="297">
        <v>0</v>
      </c>
      <c r="N120" s="297">
        <v>0</v>
      </c>
      <c r="T120" t="s">
        <v>965</v>
      </c>
      <c r="U120" t="s">
        <v>75</v>
      </c>
      <c r="V120" t="s">
        <v>971</v>
      </c>
    </row>
    <row r="121" spans="1:22" x14ac:dyDescent="0.3">
      <c r="A121" t="s">
        <v>845</v>
      </c>
      <c r="B121" t="s">
        <v>846</v>
      </c>
      <c r="C121" s="235">
        <v>0</v>
      </c>
      <c r="D121" s="263">
        <v>0</v>
      </c>
      <c r="E121" s="263"/>
      <c r="F121" s="235">
        <v>0</v>
      </c>
      <c r="G121" s="235">
        <v>0</v>
      </c>
      <c r="H121" s="235">
        <v>0</v>
      </c>
      <c r="I121" s="235">
        <v>0</v>
      </c>
      <c r="J121" s="235">
        <v>0</v>
      </c>
      <c r="K121" s="235">
        <v>0</v>
      </c>
      <c r="L121" s="297">
        <v>0</v>
      </c>
      <c r="M121" s="297">
        <v>0</v>
      </c>
      <c r="N121" s="297">
        <v>0</v>
      </c>
      <c r="T121" t="s">
        <v>965</v>
      </c>
      <c r="V121" t="s">
        <v>287</v>
      </c>
    </row>
    <row r="122" spans="1:22" x14ac:dyDescent="0.3">
      <c r="A122" t="s">
        <v>539</v>
      </c>
      <c r="B122" t="s">
        <v>623</v>
      </c>
      <c r="C122" s="235">
        <v>0</v>
      </c>
      <c r="D122" s="263">
        <v>0</v>
      </c>
      <c r="E122" s="263"/>
      <c r="F122" s="235">
        <v>0</v>
      </c>
      <c r="G122" s="235">
        <v>0</v>
      </c>
      <c r="H122" s="235">
        <v>0</v>
      </c>
      <c r="I122" s="235">
        <v>0</v>
      </c>
      <c r="J122" s="235">
        <v>0</v>
      </c>
      <c r="K122" s="235">
        <v>0</v>
      </c>
      <c r="L122" s="297">
        <v>0</v>
      </c>
      <c r="M122" s="297">
        <v>0</v>
      </c>
      <c r="N122" s="297">
        <v>0</v>
      </c>
      <c r="T122" t="s">
        <v>965</v>
      </c>
      <c r="U122" s="264"/>
    </row>
    <row r="123" spans="1:22" x14ac:dyDescent="0.3">
      <c r="A123" t="s">
        <v>540</v>
      </c>
      <c r="B123" t="s">
        <v>624</v>
      </c>
      <c r="C123" s="235">
        <v>0</v>
      </c>
      <c r="D123" s="263">
        <v>2563.0500000000002</v>
      </c>
      <c r="E123" s="263"/>
      <c r="F123" s="235">
        <v>0</v>
      </c>
      <c r="G123" s="235">
        <v>0</v>
      </c>
      <c r="H123" s="235">
        <v>0</v>
      </c>
      <c r="I123" s="235">
        <v>0</v>
      </c>
      <c r="J123" s="235">
        <v>0</v>
      </c>
      <c r="K123" s="235">
        <v>0</v>
      </c>
      <c r="L123" s="297">
        <v>0</v>
      </c>
      <c r="M123" s="297">
        <v>45.63</v>
      </c>
      <c r="N123" s="297">
        <v>0</v>
      </c>
      <c r="T123" t="s">
        <v>965</v>
      </c>
    </row>
    <row r="124" spans="1:22" x14ac:dyDescent="0.3">
      <c r="A124" t="s">
        <v>759</v>
      </c>
      <c r="B124" t="s">
        <v>762</v>
      </c>
      <c r="C124" s="235">
        <v>0</v>
      </c>
      <c r="D124" s="263">
        <v>0</v>
      </c>
      <c r="E124" s="263"/>
      <c r="F124" s="235">
        <v>0</v>
      </c>
      <c r="G124" s="235">
        <v>0</v>
      </c>
      <c r="H124" s="235">
        <v>0</v>
      </c>
      <c r="I124" s="235">
        <v>0</v>
      </c>
      <c r="J124" s="235">
        <v>0</v>
      </c>
      <c r="K124" s="235">
        <v>0</v>
      </c>
      <c r="L124" s="297">
        <v>0</v>
      </c>
      <c r="M124" s="297">
        <v>0</v>
      </c>
      <c r="N124" s="297">
        <v>0</v>
      </c>
      <c r="T124" t="s">
        <v>965</v>
      </c>
      <c r="U124" s="2" t="s">
        <v>76</v>
      </c>
    </row>
    <row r="125" spans="1:22" x14ac:dyDescent="0.3">
      <c r="A125" t="s">
        <v>1059</v>
      </c>
      <c r="B125" t="s">
        <v>1060</v>
      </c>
      <c r="C125" s="235">
        <v>0</v>
      </c>
      <c r="D125" s="263">
        <v>0</v>
      </c>
      <c r="E125" s="263">
        <v>0</v>
      </c>
      <c r="F125" s="235">
        <v>0</v>
      </c>
      <c r="G125" s="235">
        <v>0</v>
      </c>
      <c r="H125" s="235">
        <v>0</v>
      </c>
      <c r="I125" s="235">
        <v>0</v>
      </c>
      <c r="J125" s="235">
        <v>0</v>
      </c>
      <c r="K125" s="235">
        <v>0</v>
      </c>
      <c r="L125" s="297">
        <v>0</v>
      </c>
      <c r="M125" s="297">
        <v>0</v>
      </c>
      <c r="N125" s="297">
        <v>-223188.16</v>
      </c>
      <c r="T125"/>
      <c r="U125" s="2"/>
    </row>
    <row r="126" spans="1:22" x14ac:dyDescent="0.3">
      <c r="A126" t="s">
        <v>1061</v>
      </c>
      <c r="B126" t="s">
        <v>1062</v>
      </c>
      <c r="C126" s="235">
        <v>0</v>
      </c>
      <c r="D126" s="263">
        <v>0</v>
      </c>
      <c r="E126" s="263">
        <v>0</v>
      </c>
      <c r="F126" s="235">
        <v>0</v>
      </c>
      <c r="G126" s="235">
        <v>0</v>
      </c>
      <c r="H126" s="235">
        <v>0</v>
      </c>
      <c r="I126" s="235">
        <v>0</v>
      </c>
      <c r="J126" s="235">
        <v>0</v>
      </c>
      <c r="K126" s="235">
        <v>0</v>
      </c>
      <c r="L126" s="297">
        <v>0</v>
      </c>
      <c r="M126" s="297">
        <v>0</v>
      </c>
      <c r="N126" s="297">
        <v>-1471894.54</v>
      </c>
      <c r="T126"/>
      <c r="U126" s="2"/>
    </row>
    <row r="127" spans="1:22" x14ac:dyDescent="0.3">
      <c r="A127" t="s">
        <v>340</v>
      </c>
      <c r="B127" t="s">
        <v>625</v>
      </c>
      <c r="C127" s="235">
        <v>-2068188.5</v>
      </c>
      <c r="D127" s="263">
        <v>-1930075.44</v>
      </c>
      <c r="E127" s="263">
        <v>-2007742.9</v>
      </c>
      <c r="F127" s="235">
        <v>-1721413.08</v>
      </c>
      <c r="G127" s="235">
        <v>-1775057.22</v>
      </c>
      <c r="H127" s="235">
        <v>-1899392.76</v>
      </c>
      <c r="I127" s="235">
        <v>-1715351.54</v>
      </c>
      <c r="J127" s="235">
        <v>-1607469.94</v>
      </c>
      <c r="K127" s="235">
        <v>-1693969.43</v>
      </c>
      <c r="L127" s="297">
        <v>-1430987.22</v>
      </c>
      <c r="M127" s="297">
        <v>-1480904.72</v>
      </c>
      <c r="N127" s="297">
        <v>-1373703.13</v>
      </c>
      <c r="T127" t="s">
        <v>965</v>
      </c>
      <c r="U127" s="2" t="s">
        <v>76</v>
      </c>
    </row>
    <row r="128" spans="1:22" x14ac:dyDescent="0.3">
      <c r="A128" t="s">
        <v>1000</v>
      </c>
      <c r="B128" t="s">
        <v>1013</v>
      </c>
      <c r="C128" s="235">
        <v>0</v>
      </c>
      <c r="D128" s="263">
        <v>239886.07999999999</v>
      </c>
      <c r="E128" s="263">
        <v>0</v>
      </c>
      <c r="F128" s="235">
        <v>0</v>
      </c>
      <c r="G128" s="235">
        <v>0</v>
      </c>
      <c r="H128" s="235">
        <v>0</v>
      </c>
      <c r="I128" s="235">
        <v>0</v>
      </c>
      <c r="J128" s="235">
        <v>0</v>
      </c>
      <c r="K128" s="235">
        <v>0</v>
      </c>
      <c r="L128" s="297">
        <v>0</v>
      </c>
      <c r="M128" s="297">
        <v>0</v>
      </c>
      <c r="N128" s="297">
        <v>0</v>
      </c>
      <c r="T128" t="s">
        <v>965</v>
      </c>
      <c r="U128" s="2" t="s">
        <v>76</v>
      </c>
    </row>
    <row r="129" spans="1:21" x14ac:dyDescent="0.3">
      <c r="A129" t="s">
        <v>760</v>
      </c>
      <c r="B129" t="s">
        <v>761</v>
      </c>
      <c r="C129" s="235">
        <v>0</v>
      </c>
      <c r="D129" s="263">
        <v>0</v>
      </c>
      <c r="E129" s="263"/>
      <c r="F129" s="235">
        <v>0</v>
      </c>
      <c r="G129" s="235">
        <v>0</v>
      </c>
      <c r="H129" s="235">
        <v>0</v>
      </c>
      <c r="I129" s="235">
        <v>0</v>
      </c>
      <c r="J129" s="235">
        <v>0</v>
      </c>
      <c r="K129" s="235">
        <v>0</v>
      </c>
      <c r="L129" s="297">
        <v>0</v>
      </c>
      <c r="M129" s="297">
        <v>0</v>
      </c>
      <c r="N129" s="297">
        <v>0</v>
      </c>
      <c r="T129" t="s">
        <v>965</v>
      </c>
      <c r="U129" s="2" t="s">
        <v>76</v>
      </c>
    </row>
    <row r="130" spans="1:21" x14ac:dyDescent="0.3">
      <c r="A130" s="276" t="s">
        <v>341</v>
      </c>
      <c r="B130" t="s">
        <v>632</v>
      </c>
      <c r="C130" s="235">
        <v>-10828084.15</v>
      </c>
      <c r="D130" s="263">
        <v>-22428276.710000001</v>
      </c>
      <c r="E130" s="263">
        <v>-32738047.149999999</v>
      </c>
      <c r="F130" s="235">
        <v>-42441950.420000002</v>
      </c>
      <c r="G130" s="235">
        <v>-52029588.5</v>
      </c>
      <c r="H130" s="235">
        <v>-60983829.039999999</v>
      </c>
      <c r="I130" s="235">
        <v>-71215352.599999994</v>
      </c>
      <c r="J130" s="235">
        <v>-78168551.790000007</v>
      </c>
      <c r="K130" s="235">
        <v>-84400836.390000001</v>
      </c>
      <c r="L130" s="297">
        <v>-89920979.319999993</v>
      </c>
      <c r="M130" s="297">
        <v>-95784615.049999997</v>
      </c>
      <c r="N130" s="319">
        <v>-99820052.209999993</v>
      </c>
      <c r="O130" s="282">
        <f>N130-M130</f>
        <v>-4035437.1599999964</v>
      </c>
      <c r="T130" t="s">
        <v>965</v>
      </c>
      <c r="U130" s="2" t="s">
        <v>76</v>
      </c>
    </row>
    <row r="131" spans="1:21" x14ac:dyDescent="0.3">
      <c r="A131" s="275" t="s">
        <v>342</v>
      </c>
      <c r="B131" t="s">
        <v>633</v>
      </c>
      <c r="C131" s="235">
        <v>62916.94</v>
      </c>
      <c r="D131" s="263">
        <v>116166.64</v>
      </c>
      <c r="E131" s="263">
        <v>134231.97</v>
      </c>
      <c r="F131" s="235">
        <v>192871.24</v>
      </c>
      <c r="G131" s="235">
        <v>211972.9</v>
      </c>
      <c r="H131" s="235">
        <v>238458.51</v>
      </c>
      <c r="I131" s="235">
        <v>256668.31</v>
      </c>
      <c r="J131" s="235">
        <v>263605.17</v>
      </c>
      <c r="K131" s="235">
        <v>279672.15999999997</v>
      </c>
      <c r="L131" s="297">
        <v>296592.84000000003</v>
      </c>
      <c r="M131" s="297">
        <v>311788.43</v>
      </c>
      <c r="N131" s="319">
        <v>340258.53</v>
      </c>
      <c r="O131" s="282">
        <f t="shared" ref="O131:O151" si="0">N131-M131</f>
        <v>28470.100000000035</v>
      </c>
      <c r="T131" t="s">
        <v>965</v>
      </c>
      <c r="U131" s="2" t="s">
        <v>76</v>
      </c>
    </row>
    <row r="132" spans="1:21" x14ac:dyDescent="0.3">
      <c r="A132" s="275" t="s">
        <v>1033</v>
      </c>
      <c r="B132" t="s">
        <v>1034</v>
      </c>
      <c r="D132" s="263"/>
      <c r="E132" s="263"/>
      <c r="F132" s="235">
        <v>17.100000000000001</v>
      </c>
      <c r="G132" s="235">
        <v>17.100000000000001</v>
      </c>
      <c r="H132" s="235">
        <v>17.100000000000001</v>
      </c>
      <c r="I132" s="235">
        <v>17.100000000000001</v>
      </c>
      <c r="J132" s="235">
        <v>17.100000000000001</v>
      </c>
      <c r="K132" s="235">
        <v>17.100000000000001</v>
      </c>
      <c r="L132" s="297">
        <v>17.100000000000001</v>
      </c>
      <c r="M132" s="297">
        <v>17.100000000000001</v>
      </c>
      <c r="N132" s="319">
        <v>17.100000000000001</v>
      </c>
      <c r="O132" s="282">
        <f t="shared" si="0"/>
        <v>0</v>
      </c>
      <c r="T132"/>
      <c r="U132" s="2"/>
    </row>
    <row r="133" spans="1:21" x14ac:dyDescent="0.3">
      <c r="A133" t="s">
        <v>882</v>
      </c>
      <c r="B133" t="s">
        <v>883</v>
      </c>
      <c r="C133" s="235">
        <v>0</v>
      </c>
      <c r="D133" s="263">
        <v>0</v>
      </c>
      <c r="E133" s="263"/>
      <c r="F133" s="235">
        <v>0</v>
      </c>
      <c r="G133" s="235">
        <v>0</v>
      </c>
      <c r="H133" s="235">
        <v>0</v>
      </c>
      <c r="I133" s="235">
        <v>0</v>
      </c>
      <c r="J133" s="235">
        <v>0</v>
      </c>
      <c r="K133" s="235">
        <v>0</v>
      </c>
      <c r="L133" s="297">
        <v>0</v>
      </c>
      <c r="M133" s="297">
        <v>0</v>
      </c>
      <c r="N133" s="319">
        <v>0</v>
      </c>
      <c r="O133" s="282">
        <f t="shared" si="0"/>
        <v>0</v>
      </c>
      <c r="T133" t="s">
        <v>965</v>
      </c>
      <c r="U133" s="2" t="s">
        <v>76</v>
      </c>
    </row>
    <row r="134" spans="1:21" x14ac:dyDescent="0.3">
      <c r="A134" t="s">
        <v>778</v>
      </c>
      <c r="B134" t="s">
        <v>779</v>
      </c>
      <c r="C134" s="235">
        <v>10000</v>
      </c>
      <c r="D134" s="263">
        <v>21569.66</v>
      </c>
      <c r="E134" s="263">
        <v>31569.66</v>
      </c>
      <c r="F134" s="235">
        <v>41569.660000000003</v>
      </c>
      <c r="G134" s="235">
        <v>51569.66</v>
      </c>
      <c r="H134" s="235">
        <v>61569.66</v>
      </c>
      <c r="I134" s="235">
        <v>71569.66</v>
      </c>
      <c r="J134" s="235">
        <v>81569.66</v>
      </c>
      <c r="K134" s="235">
        <v>91569.66</v>
      </c>
      <c r="L134" s="297">
        <v>101569.66</v>
      </c>
      <c r="M134" s="297">
        <v>111569.66</v>
      </c>
      <c r="N134" s="319">
        <v>121569.66</v>
      </c>
      <c r="O134" s="282">
        <f t="shared" si="0"/>
        <v>10000</v>
      </c>
      <c r="T134" t="s">
        <v>965</v>
      </c>
      <c r="U134" s="2" t="s">
        <v>76</v>
      </c>
    </row>
    <row r="135" spans="1:21" x14ac:dyDescent="0.3">
      <c r="A135" t="s">
        <v>343</v>
      </c>
      <c r="B135" t="s">
        <v>634</v>
      </c>
      <c r="C135" s="235">
        <v>0</v>
      </c>
      <c r="D135" s="263">
        <v>0</v>
      </c>
      <c r="E135" s="263"/>
      <c r="F135" s="235">
        <v>0</v>
      </c>
      <c r="G135" s="235">
        <v>0</v>
      </c>
      <c r="H135" s="235">
        <v>0</v>
      </c>
      <c r="I135" s="235">
        <v>0</v>
      </c>
      <c r="J135" s="235">
        <v>0</v>
      </c>
      <c r="K135" s="235">
        <v>0</v>
      </c>
      <c r="L135" s="297">
        <v>0</v>
      </c>
      <c r="M135" s="297">
        <v>0</v>
      </c>
      <c r="N135" s="319">
        <v>0</v>
      </c>
      <c r="O135" s="282">
        <f t="shared" si="0"/>
        <v>0</v>
      </c>
      <c r="T135" t="s">
        <v>965</v>
      </c>
      <c r="U135" s="2" t="s">
        <v>76</v>
      </c>
    </row>
    <row r="136" spans="1:21" x14ac:dyDescent="0.3">
      <c r="A136" s="275" t="s">
        <v>344</v>
      </c>
      <c r="B136" t="s">
        <v>635</v>
      </c>
      <c r="C136" s="235">
        <v>-437506.87</v>
      </c>
      <c r="D136" s="263">
        <v>-827694.73</v>
      </c>
      <c r="E136" s="263">
        <v>-1183412.4099999999</v>
      </c>
      <c r="F136" s="235">
        <v>-1499822.61</v>
      </c>
      <c r="G136" s="235">
        <v>-1845085.04</v>
      </c>
      <c r="H136" s="235">
        <v>-2127221.4700000002</v>
      </c>
      <c r="I136" s="235">
        <v>-2461144.0499999998</v>
      </c>
      <c r="J136" s="235">
        <v>-2672368.04</v>
      </c>
      <c r="K136" s="235">
        <v>-2879802.79</v>
      </c>
      <c r="L136" s="297">
        <v>-3059441.03</v>
      </c>
      <c r="M136" s="297">
        <v>-3273767.02</v>
      </c>
      <c r="N136" s="319">
        <v>-3409543.96</v>
      </c>
      <c r="O136" s="282">
        <f t="shared" si="0"/>
        <v>-135776.93999999994</v>
      </c>
      <c r="T136" t="s">
        <v>965</v>
      </c>
      <c r="U136" s="2" t="s">
        <v>76</v>
      </c>
    </row>
    <row r="137" spans="1:21" x14ac:dyDescent="0.3">
      <c r="A137" s="275" t="s">
        <v>345</v>
      </c>
      <c r="B137" t="s">
        <v>636</v>
      </c>
      <c r="C137" s="235">
        <v>-29641.26</v>
      </c>
      <c r="D137" s="263">
        <v>-59030.28</v>
      </c>
      <c r="E137" s="263">
        <v>-80582.69</v>
      </c>
      <c r="F137" s="235">
        <v>-106682.03</v>
      </c>
      <c r="G137" s="235">
        <v>-130846.96</v>
      </c>
      <c r="H137" s="235">
        <v>-143424.68</v>
      </c>
      <c r="I137" s="235">
        <v>-159391.03</v>
      </c>
      <c r="J137" s="235">
        <v>-168539.51999999999</v>
      </c>
      <c r="K137" s="235">
        <v>-176850.42</v>
      </c>
      <c r="L137" s="297">
        <v>-185018.1</v>
      </c>
      <c r="M137" s="297">
        <v>-186012.17</v>
      </c>
      <c r="N137" s="319">
        <v>-188863.75</v>
      </c>
      <c r="O137" s="282">
        <f t="shared" si="0"/>
        <v>-2851.5799999999872</v>
      </c>
      <c r="T137" t="s">
        <v>965</v>
      </c>
      <c r="U137" s="2" t="s">
        <v>76</v>
      </c>
    </row>
    <row r="138" spans="1:21" x14ac:dyDescent="0.3">
      <c r="A138" s="275" t="s">
        <v>351</v>
      </c>
      <c r="B138" t="s">
        <v>637</v>
      </c>
      <c r="C138" s="235">
        <v>-1770184.41</v>
      </c>
      <c r="D138" s="263">
        <v>-4098750.37</v>
      </c>
      <c r="E138" s="263">
        <v>-5695042.2800000003</v>
      </c>
      <c r="F138" s="235">
        <v>-7284682.4500000002</v>
      </c>
      <c r="G138" s="235">
        <v>-9451543.2400000002</v>
      </c>
      <c r="H138" s="235">
        <v>-10592192.810000001</v>
      </c>
      <c r="I138" s="235">
        <v>-11939367.470000001</v>
      </c>
      <c r="J138" s="235">
        <v>-12763785.890000001</v>
      </c>
      <c r="K138" s="235">
        <v>-13369828.289999999</v>
      </c>
      <c r="L138" s="297">
        <v>-14536416.939999999</v>
      </c>
      <c r="M138" s="297">
        <v>-14604730.82</v>
      </c>
      <c r="N138" s="319">
        <v>-14705115.99</v>
      </c>
      <c r="O138" s="310">
        <f t="shared" si="0"/>
        <v>-100385.16999999993</v>
      </c>
      <c r="T138" t="s">
        <v>965</v>
      </c>
      <c r="U138" s="2" t="s">
        <v>76</v>
      </c>
    </row>
    <row r="139" spans="1:21" x14ac:dyDescent="0.3">
      <c r="A139" s="275" t="s">
        <v>352</v>
      </c>
      <c r="B139" t="s">
        <v>638</v>
      </c>
      <c r="C139" s="235">
        <v>19194.57</v>
      </c>
      <c r="D139" s="263">
        <v>24214.3</v>
      </c>
      <c r="E139" s="263">
        <v>24214.3</v>
      </c>
      <c r="F139" s="235">
        <v>34995.599999999999</v>
      </c>
      <c r="G139" s="235">
        <v>51211.53</v>
      </c>
      <c r="H139" s="235">
        <v>55553.31</v>
      </c>
      <c r="I139" s="235">
        <v>55809.66</v>
      </c>
      <c r="J139" s="235">
        <v>77851.89</v>
      </c>
      <c r="K139" s="235">
        <v>80691.89</v>
      </c>
      <c r="L139" s="297">
        <v>80691.89</v>
      </c>
      <c r="M139" s="297">
        <v>80925.89</v>
      </c>
      <c r="N139" s="319">
        <v>82825.89</v>
      </c>
      <c r="O139" s="310">
        <f t="shared" si="0"/>
        <v>1900</v>
      </c>
      <c r="T139" t="s">
        <v>965</v>
      </c>
      <c r="U139" s="2" t="s">
        <v>76</v>
      </c>
    </row>
    <row r="140" spans="1:21" x14ac:dyDescent="0.3">
      <c r="A140" t="s">
        <v>513</v>
      </c>
      <c r="B140" t="s">
        <v>514</v>
      </c>
      <c r="C140" s="235">
        <v>0</v>
      </c>
      <c r="D140" s="263">
        <v>0</v>
      </c>
      <c r="E140" s="263"/>
      <c r="F140" s="235">
        <v>0</v>
      </c>
      <c r="G140" s="235">
        <v>0</v>
      </c>
      <c r="H140" s="235">
        <v>0</v>
      </c>
      <c r="I140" s="235">
        <v>0</v>
      </c>
      <c r="J140" s="235">
        <v>0</v>
      </c>
      <c r="K140" s="235">
        <v>0</v>
      </c>
      <c r="L140" s="297">
        <v>0</v>
      </c>
      <c r="M140" s="297">
        <v>0</v>
      </c>
      <c r="N140" s="319">
        <v>0</v>
      </c>
      <c r="O140" s="282">
        <f t="shared" si="0"/>
        <v>0</v>
      </c>
      <c r="T140" t="s">
        <v>965</v>
      </c>
      <c r="U140" s="2" t="s">
        <v>76</v>
      </c>
    </row>
    <row r="141" spans="1:21" x14ac:dyDescent="0.3">
      <c r="A141" t="s">
        <v>353</v>
      </c>
      <c r="B141" t="s">
        <v>639</v>
      </c>
      <c r="C141" s="235">
        <v>0</v>
      </c>
      <c r="D141" s="263">
        <v>0</v>
      </c>
      <c r="E141" s="263"/>
      <c r="F141" s="235">
        <v>0</v>
      </c>
      <c r="G141" s="235">
        <v>0</v>
      </c>
      <c r="H141" s="235">
        <v>0</v>
      </c>
      <c r="I141" s="235">
        <v>0</v>
      </c>
      <c r="J141" s="235">
        <v>0</v>
      </c>
      <c r="K141" s="235">
        <v>0</v>
      </c>
      <c r="L141" s="297">
        <v>0</v>
      </c>
      <c r="M141" s="297">
        <v>0</v>
      </c>
      <c r="N141" s="319">
        <v>0</v>
      </c>
      <c r="O141" s="282">
        <f t="shared" si="0"/>
        <v>0</v>
      </c>
      <c r="T141" t="s">
        <v>965</v>
      </c>
      <c r="U141" s="2" t="s">
        <v>76</v>
      </c>
    </row>
    <row r="142" spans="1:21" x14ac:dyDescent="0.3">
      <c r="A142" s="275" t="s">
        <v>354</v>
      </c>
      <c r="B142" t="s">
        <v>640</v>
      </c>
      <c r="C142" s="235">
        <v>-19851.62</v>
      </c>
      <c r="D142" s="263">
        <v>-29004.27</v>
      </c>
      <c r="E142" s="263">
        <v>-43990.01</v>
      </c>
      <c r="F142" s="235">
        <v>-44495.61</v>
      </c>
      <c r="G142" s="235">
        <v>-54629.74</v>
      </c>
      <c r="H142" s="235">
        <v>-60513.05</v>
      </c>
      <c r="I142" s="235">
        <v>-66865.5</v>
      </c>
      <c r="J142" s="235">
        <v>-66865.5</v>
      </c>
      <c r="K142" s="235">
        <v>-66865.5</v>
      </c>
      <c r="L142" s="297">
        <v>-66865.5</v>
      </c>
      <c r="M142" s="297">
        <v>-66865.5</v>
      </c>
      <c r="N142" s="319">
        <v>-66865.5</v>
      </c>
      <c r="O142" s="311">
        <f t="shared" si="0"/>
        <v>0</v>
      </c>
      <c r="T142" t="s">
        <v>965</v>
      </c>
      <c r="U142" s="2" t="s">
        <v>76</v>
      </c>
    </row>
    <row r="143" spans="1:21" x14ac:dyDescent="0.3">
      <c r="A143" s="275" t="s">
        <v>355</v>
      </c>
      <c r="B143" t="s">
        <v>641</v>
      </c>
      <c r="C143" s="235">
        <v>-53593.46</v>
      </c>
      <c r="D143" s="263">
        <v>-130419.16</v>
      </c>
      <c r="E143" s="263">
        <v>-180509.13</v>
      </c>
      <c r="F143" s="235">
        <v>-217326.77</v>
      </c>
      <c r="G143" s="235">
        <v>-279549.63</v>
      </c>
      <c r="H143" s="235">
        <v>-310462.15999999997</v>
      </c>
      <c r="I143" s="235">
        <v>-375402.91</v>
      </c>
      <c r="J143" s="235">
        <v>-394553.17</v>
      </c>
      <c r="K143" s="235">
        <v>-417233.75</v>
      </c>
      <c r="L143" s="297">
        <v>-437861.93</v>
      </c>
      <c r="M143" s="297">
        <v>-445410.49</v>
      </c>
      <c r="N143" s="319">
        <v>-456249.95</v>
      </c>
      <c r="O143" s="311">
        <f t="shared" si="0"/>
        <v>-10839.460000000021</v>
      </c>
      <c r="T143"/>
      <c r="U143" s="2"/>
    </row>
    <row r="144" spans="1:21" x14ac:dyDescent="0.3">
      <c r="A144" s="275" t="s">
        <v>356</v>
      </c>
      <c r="B144" t="s">
        <v>642</v>
      </c>
      <c r="C144" s="235">
        <v>-6205.71</v>
      </c>
      <c r="D144" s="263">
        <v>-7451.04</v>
      </c>
      <c r="E144" s="263">
        <v>-11309.41</v>
      </c>
      <c r="F144" s="235">
        <v>-12420.7</v>
      </c>
      <c r="G144" s="235">
        <v>-14859.2</v>
      </c>
      <c r="H144" s="235">
        <v>-15606.64</v>
      </c>
      <c r="I144" s="235">
        <v>-16357.68</v>
      </c>
      <c r="J144" s="235">
        <v>-16357.68</v>
      </c>
      <c r="K144" s="235">
        <v>-16357.68</v>
      </c>
      <c r="L144" s="297">
        <v>-16357.68</v>
      </c>
      <c r="M144" s="297">
        <v>-16357.68</v>
      </c>
      <c r="N144" s="319">
        <v>-16357.68</v>
      </c>
      <c r="O144" s="311">
        <f t="shared" si="0"/>
        <v>0</v>
      </c>
      <c r="T144" t="s">
        <v>965</v>
      </c>
      <c r="U144" s="2" t="s">
        <v>76</v>
      </c>
    </row>
    <row r="145" spans="1:21" x14ac:dyDescent="0.3">
      <c r="A145" s="275" t="s">
        <v>1049</v>
      </c>
      <c r="B145" t="s">
        <v>1050</v>
      </c>
      <c r="D145" s="263"/>
      <c r="E145" s="263"/>
      <c r="L145" s="297">
        <v>-395978.4</v>
      </c>
      <c r="M145" s="297">
        <v>-653851.84</v>
      </c>
      <c r="N145" s="319">
        <v>-937136.73</v>
      </c>
      <c r="O145" s="310">
        <f t="shared" si="0"/>
        <v>-283284.89</v>
      </c>
      <c r="T145"/>
      <c r="U145" s="2"/>
    </row>
    <row r="146" spans="1:21" x14ac:dyDescent="0.3">
      <c r="A146" s="275" t="s">
        <v>1051</v>
      </c>
      <c r="B146" t="s">
        <v>1052</v>
      </c>
      <c r="D146" s="263"/>
      <c r="E146" s="263"/>
      <c r="L146" s="297">
        <v>-9323.6200000000008</v>
      </c>
      <c r="M146" s="297">
        <v>-9323.6200000000008</v>
      </c>
      <c r="N146" s="319">
        <v>-9323.6200000000008</v>
      </c>
      <c r="O146" s="311">
        <f t="shared" si="0"/>
        <v>0</v>
      </c>
      <c r="T146"/>
      <c r="U146" s="2"/>
    </row>
    <row r="147" spans="1:21" x14ac:dyDescent="0.3">
      <c r="A147" t="s">
        <v>360</v>
      </c>
      <c r="B147" t="s">
        <v>154</v>
      </c>
      <c r="C147" s="235">
        <v>-355224</v>
      </c>
      <c r="D147" s="263">
        <v>-809143.5</v>
      </c>
      <c r="E147" s="263">
        <v>-1228120.8999999999</v>
      </c>
      <c r="F147" s="235">
        <v>-1638701.8</v>
      </c>
      <c r="G147" s="235">
        <v>-1928796.4</v>
      </c>
      <c r="H147" s="235">
        <v>-2232720.4</v>
      </c>
      <c r="I147" s="235">
        <v>-2548688.2999999998</v>
      </c>
      <c r="J147" s="235">
        <v>-2775376</v>
      </c>
      <c r="K147" s="235">
        <v>-3004031.3</v>
      </c>
      <c r="L147" s="297">
        <v>-3248562</v>
      </c>
      <c r="M147" s="297">
        <v>-3429662.2</v>
      </c>
      <c r="N147" s="319">
        <v>-3615037.6</v>
      </c>
      <c r="O147" s="282">
        <f t="shared" si="0"/>
        <v>-185375.39999999991</v>
      </c>
      <c r="T147" t="s">
        <v>965</v>
      </c>
      <c r="U147" s="2" t="s">
        <v>76</v>
      </c>
    </row>
    <row r="148" spans="1:21" x14ac:dyDescent="0.3">
      <c r="A148" t="s">
        <v>361</v>
      </c>
      <c r="B148" t="s">
        <v>935</v>
      </c>
      <c r="C148" s="235">
        <v>0</v>
      </c>
      <c r="D148" s="263">
        <v>0</v>
      </c>
      <c r="E148" s="263"/>
      <c r="F148" s="235">
        <v>0</v>
      </c>
      <c r="G148" s="235">
        <v>0</v>
      </c>
      <c r="H148" s="235">
        <v>0</v>
      </c>
      <c r="I148" s="235">
        <v>0</v>
      </c>
      <c r="J148" s="235">
        <v>0</v>
      </c>
      <c r="K148" s="235">
        <v>0</v>
      </c>
      <c r="L148" s="297">
        <v>0</v>
      </c>
      <c r="M148" s="297">
        <v>0</v>
      </c>
      <c r="N148" s="319">
        <v>0</v>
      </c>
      <c r="O148" s="282">
        <f t="shared" si="0"/>
        <v>0</v>
      </c>
      <c r="T148" t="s">
        <v>965</v>
      </c>
      <c r="U148" s="2" t="s">
        <v>76</v>
      </c>
    </row>
    <row r="149" spans="1:21" x14ac:dyDescent="0.3">
      <c r="A149" t="s">
        <v>983</v>
      </c>
      <c r="B149" t="s">
        <v>984</v>
      </c>
      <c r="C149" s="235">
        <v>3197.16</v>
      </c>
      <c r="D149" s="263">
        <v>3197.16</v>
      </c>
      <c r="E149" s="263">
        <v>3197.16</v>
      </c>
      <c r="F149" s="235">
        <v>3197.16</v>
      </c>
      <c r="G149" s="235">
        <v>3197.16</v>
      </c>
      <c r="H149" s="235">
        <v>3197.16</v>
      </c>
      <c r="I149" s="235">
        <v>3197.16</v>
      </c>
      <c r="J149" s="235">
        <v>3197.16</v>
      </c>
      <c r="K149" s="235">
        <v>3197.16</v>
      </c>
      <c r="L149" s="297">
        <v>3197.16</v>
      </c>
      <c r="M149" s="297">
        <v>3197.16</v>
      </c>
      <c r="N149" s="319">
        <v>3197.16</v>
      </c>
      <c r="O149" s="282">
        <f t="shared" si="0"/>
        <v>0</v>
      </c>
      <c r="T149" t="s">
        <v>965</v>
      </c>
      <c r="U149" s="2" t="s">
        <v>76</v>
      </c>
    </row>
    <row r="150" spans="1:21" x14ac:dyDescent="0.3">
      <c r="A150" t="s">
        <v>1057</v>
      </c>
      <c r="B150" t="s">
        <v>1058</v>
      </c>
      <c r="D150" s="263"/>
      <c r="E150" s="263"/>
      <c r="N150" s="319">
        <v>-329883.65000000002</v>
      </c>
      <c r="T150"/>
      <c r="U150" s="2"/>
    </row>
    <row r="151" spans="1:21" x14ac:dyDescent="0.3">
      <c r="A151" t="s">
        <v>362</v>
      </c>
      <c r="B151" t="s">
        <v>168</v>
      </c>
      <c r="C151" s="235">
        <v>0</v>
      </c>
      <c r="D151" s="263">
        <v>0</v>
      </c>
      <c r="E151" s="263"/>
      <c r="F151" s="235">
        <v>-15830.56</v>
      </c>
      <c r="G151" s="235">
        <v>-22699.7</v>
      </c>
      <c r="H151" s="235">
        <v>-22699.7</v>
      </c>
      <c r="I151" s="235">
        <v>-54848.78</v>
      </c>
      <c r="J151" s="235">
        <v>-54848.78</v>
      </c>
      <c r="K151" s="235">
        <v>-54848.78</v>
      </c>
      <c r="L151" s="297">
        <v>-54848.78</v>
      </c>
      <c r="M151" s="297">
        <v>-54848.78</v>
      </c>
      <c r="N151" s="319">
        <v>-62472.02</v>
      </c>
      <c r="O151" s="313">
        <f t="shared" si="0"/>
        <v>-7623.239999999998</v>
      </c>
      <c r="P151" s="281">
        <f>SUM(O130:O149)</f>
        <v>-4713580.4999999963</v>
      </c>
      <c r="T151" t="s">
        <v>965</v>
      </c>
      <c r="U151" s="2" t="s">
        <v>76</v>
      </c>
    </row>
    <row r="152" spans="1:21" x14ac:dyDescent="0.3">
      <c r="A152" t="s">
        <v>363</v>
      </c>
      <c r="B152" t="s">
        <v>643</v>
      </c>
      <c r="C152" s="235">
        <v>5897562</v>
      </c>
      <c r="D152" s="263">
        <v>5897562</v>
      </c>
      <c r="E152" s="263">
        <v>5897562</v>
      </c>
      <c r="F152" s="235">
        <v>5897562</v>
      </c>
      <c r="G152" s="235">
        <v>5897562</v>
      </c>
      <c r="H152" s="235">
        <v>5897562</v>
      </c>
      <c r="I152" s="235">
        <v>5897562</v>
      </c>
      <c r="J152" s="235">
        <v>5897562</v>
      </c>
      <c r="K152" s="235">
        <v>5897562</v>
      </c>
      <c r="L152" s="297">
        <v>5897562</v>
      </c>
      <c r="M152" s="297">
        <v>5897562</v>
      </c>
      <c r="N152" s="297">
        <v>5897562</v>
      </c>
      <c r="O152" s="282">
        <f t="shared" ref="O152:O154" si="1">M152-L152</f>
        <v>0</v>
      </c>
      <c r="T152" t="s">
        <v>965</v>
      </c>
      <c r="U152" s="2" t="s">
        <v>76</v>
      </c>
    </row>
    <row r="153" spans="1:21" x14ac:dyDescent="0.3">
      <c r="A153" t="s">
        <v>364</v>
      </c>
      <c r="B153" t="s">
        <v>644</v>
      </c>
      <c r="C153" s="235">
        <v>-5092166</v>
      </c>
      <c r="D153" s="263">
        <v>-5422414</v>
      </c>
      <c r="E153" s="263">
        <v>-6224459</v>
      </c>
      <c r="F153" s="235">
        <v>-8348847</v>
      </c>
      <c r="G153" s="235">
        <v>-6788791</v>
      </c>
      <c r="H153" s="235">
        <v>-7934890</v>
      </c>
      <c r="I153" s="235">
        <v>-6858520</v>
      </c>
      <c r="J153" s="235">
        <v>-6593601</v>
      </c>
      <c r="K153" s="235">
        <v>-6847888</v>
      </c>
      <c r="L153" s="297">
        <v>-7292214</v>
      </c>
      <c r="M153" s="297">
        <v>-6729928</v>
      </c>
      <c r="N153" s="297">
        <v>-7426277</v>
      </c>
      <c r="T153" t="s">
        <v>965</v>
      </c>
      <c r="U153" s="2" t="s">
        <v>76</v>
      </c>
    </row>
    <row r="154" spans="1:21" x14ac:dyDescent="0.3">
      <c r="A154" t="s">
        <v>1023</v>
      </c>
      <c r="B154" t="s">
        <v>1024</v>
      </c>
      <c r="D154" s="263"/>
      <c r="E154" s="263">
        <v>-8785427.1899999995</v>
      </c>
      <c r="F154" s="235">
        <v>-8785427.1899999995</v>
      </c>
      <c r="G154" s="235">
        <v>-8785427.1899999995</v>
      </c>
      <c r="H154" s="235">
        <v>-8785427.1899999995</v>
      </c>
      <c r="I154" s="235">
        <v>-8785427.1899999995</v>
      </c>
      <c r="J154" s="235">
        <v>-8785427.1899999995</v>
      </c>
      <c r="K154" s="235">
        <v>-8785427.1899999995</v>
      </c>
      <c r="L154" s="297">
        <v>-8785427.1899999995</v>
      </c>
      <c r="M154" s="297">
        <v>-8785427.1899999995</v>
      </c>
      <c r="N154" s="297">
        <v>-8785427.1899999995</v>
      </c>
      <c r="O154" s="282">
        <f t="shared" si="1"/>
        <v>0</v>
      </c>
      <c r="T154"/>
      <c r="U154" s="2"/>
    </row>
    <row r="155" spans="1:21" x14ac:dyDescent="0.3">
      <c r="A155" s="278" t="s">
        <v>365</v>
      </c>
      <c r="B155" t="s">
        <v>645</v>
      </c>
      <c r="C155" s="235">
        <v>22450570.809999999</v>
      </c>
      <c r="D155" s="263">
        <v>22450570.809999999</v>
      </c>
      <c r="E155" s="263">
        <v>22450570.809999999</v>
      </c>
      <c r="F155" s="235">
        <v>22450570.809999999</v>
      </c>
      <c r="G155" s="235">
        <v>22450570.809999999</v>
      </c>
      <c r="H155" s="235">
        <v>22450570.809999999</v>
      </c>
      <c r="I155" s="235">
        <v>22450570.809999999</v>
      </c>
      <c r="J155" s="235">
        <v>22450570.809999999</v>
      </c>
      <c r="K155" s="235">
        <v>22450570.809999999</v>
      </c>
      <c r="L155" s="297">
        <v>22450570.809999999</v>
      </c>
      <c r="M155" s="297">
        <v>22450570.809999999</v>
      </c>
      <c r="N155" s="297">
        <v>22450570.809999999</v>
      </c>
      <c r="O155" s="282">
        <f>M155-L155</f>
        <v>0</v>
      </c>
      <c r="T155" t="s">
        <v>965</v>
      </c>
      <c r="U155" s="2" t="s">
        <v>76</v>
      </c>
    </row>
    <row r="156" spans="1:21" x14ac:dyDescent="0.3">
      <c r="A156" s="278" t="s">
        <v>366</v>
      </c>
      <c r="B156" t="s">
        <v>646</v>
      </c>
      <c r="C156" s="235">
        <v>-26330455</v>
      </c>
      <c r="D156" s="263">
        <v>-26553050</v>
      </c>
      <c r="E156" s="263">
        <v>-18957641.82</v>
      </c>
      <c r="F156" s="235">
        <v>-20076438.07</v>
      </c>
      <c r="G156" s="235">
        <v>-18994139.75</v>
      </c>
      <c r="H156" s="235">
        <v>-25301927.690000001</v>
      </c>
      <c r="I156" s="235">
        <v>-18094645.07</v>
      </c>
      <c r="J156" s="235">
        <v>-12016581.84</v>
      </c>
      <c r="K156" s="235">
        <v>-6590512.5499999998</v>
      </c>
      <c r="L156" s="297">
        <v>-10803042.17</v>
      </c>
      <c r="M156" s="297">
        <v>-11033418.07</v>
      </c>
      <c r="N156" s="297">
        <v>-11541739.07</v>
      </c>
      <c r="O156" s="282">
        <f>N156-M156</f>
        <v>-508321</v>
      </c>
      <c r="T156" t="s">
        <v>965</v>
      </c>
      <c r="U156" s="2" t="s">
        <v>76</v>
      </c>
    </row>
    <row r="157" spans="1:21" x14ac:dyDescent="0.3">
      <c r="A157" s="278" t="s">
        <v>367</v>
      </c>
      <c r="B157" t="s">
        <v>647</v>
      </c>
      <c r="C157" s="235">
        <v>12290658.369999999</v>
      </c>
      <c r="D157" s="263">
        <v>22292392.899999999</v>
      </c>
      <c r="E157" s="263">
        <v>23763535.399999999</v>
      </c>
      <c r="F157" s="235">
        <v>34672624.590000004</v>
      </c>
      <c r="G157" s="235">
        <v>40325700.920000002</v>
      </c>
      <c r="H157" s="235">
        <v>55316005.289999999</v>
      </c>
      <c r="I157" s="235">
        <v>56068458.460000001</v>
      </c>
      <c r="J157" s="235">
        <v>55963084.479999997</v>
      </c>
      <c r="K157" s="235">
        <v>56529951.149999999</v>
      </c>
      <c r="L157" s="297">
        <v>66212048.659999996</v>
      </c>
      <c r="M157" s="297">
        <v>71460155.379999995</v>
      </c>
      <c r="N157" s="297">
        <v>76019170.700000003</v>
      </c>
      <c r="O157" s="282">
        <f t="shared" ref="O157:O161" si="2">N157-M157</f>
        <v>4559015.3200000077</v>
      </c>
      <c r="T157" t="s">
        <v>965</v>
      </c>
      <c r="U157" s="2" t="s">
        <v>76</v>
      </c>
    </row>
    <row r="158" spans="1:21" x14ac:dyDescent="0.3">
      <c r="A158" s="278" t="s">
        <v>368</v>
      </c>
      <c r="B158" t="s">
        <v>648</v>
      </c>
      <c r="C158" s="235">
        <v>92518.52</v>
      </c>
      <c r="D158" s="263">
        <v>167435.45000000001</v>
      </c>
      <c r="E158" s="263">
        <v>240510.49</v>
      </c>
      <c r="F158" s="235">
        <v>317776.64000000001</v>
      </c>
      <c r="G158" s="235">
        <v>350015.56</v>
      </c>
      <c r="H158" s="235">
        <v>460724.59</v>
      </c>
      <c r="I158" s="235">
        <v>458001.23</v>
      </c>
      <c r="J158" s="235">
        <v>463749.6</v>
      </c>
      <c r="K158" s="235">
        <v>465767.9</v>
      </c>
      <c r="L158" s="297">
        <v>568454.27</v>
      </c>
      <c r="M158" s="297">
        <v>617859.16</v>
      </c>
      <c r="N158" s="297">
        <v>639363.83999999997</v>
      </c>
      <c r="O158" s="282">
        <f t="shared" si="2"/>
        <v>21504.679999999935</v>
      </c>
      <c r="P158" s="291" t="s">
        <v>372</v>
      </c>
      <c r="Q158" s="292" t="s">
        <v>1047</v>
      </c>
      <c r="R158" s="293">
        <f>N166-M166</f>
        <v>28514.449999999721</v>
      </c>
      <c r="T158" t="s">
        <v>965</v>
      </c>
      <c r="U158" s="2" t="s">
        <v>76</v>
      </c>
    </row>
    <row r="159" spans="1:21" x14ac:dyDescent="0.3">
      <c r="A159" s="278" t="s">
        <v>473</v>
      </c>
      <c r="B159" t="s">
        <v>649</v>
      </c>
      <c r="C159" s="235">
        <v>0</v>
      </c>
      <c r="D159" s="263">
        <v>0</v>
      </c>
      <c r="E159" s="263">
        <v>0</v>
      </c>
      <c r="F159" s="235">
        <v>0</v>
      </c>
      <c r="G159" s="235">
        <v>0</v>
      </c>
      <c r="H159" s="235">
        <v>0</v>
      </c>
      <c r="I159" s="235">
        <v>0</v>
      </c>
      <c r="J159" s="235">
        <v>0</v>
      </c>
      <c r="K159" s="235">
        <v>0</v>
      </c>
      <c r="L159" s="297">
        <v>0</v>
      </c>
      <c r="M159" s="297">
        <v>0</v>
      </c>
      <c r="N159" s="297">
        <v>0</v>
      </c>
      <c r="O159" s="282">
        <f t="shared" si="2"/>
        <v>0</v>
      </c>
      <c r="P159" s="288" t="s">
        <v>373</v>
      </c>
      <c r="Q159" t="s">
        <v>653</v>
      </c>
      <c r="R159" s="294">
        <f>N167-M167</f>
        <v>98512.219999999972</v>
      </c>
      <c r="T159" t="s">
        <v>965</v>
      </c>
      <c r="U159" s="2" t="s">
        <v>76</v>
      </c>
    </row>
    <row r="160" spans="1:21" x14ac:dyDescent="0.3">
      <c r="A160" s="278" t="s">
        <v>369</v>
      </c>
      <c r="B160" t="s">
        <v>155</v>
      </c>
      <c r="C160" s="235">
        <v>63355.5</v>
      </c>
      <c r="D160" s="263">
        <v>64993.19</v>
      </c>
      <c r="E160" s="263">
        <v>120214.47</v>
      </c>
      <c r="F160" s="235">
        <v>173730.13</v>
      </c>
      <c r="G160" s="235">
        <v>208093.84</v>
      </c>
      <c r="H160" s="235">
        <v>238650.68</v>
      </c>
      <c r="I160" s="235">
        <v>318833.38</v>
      </c>
      <c r="J160" s="235">
        <v>330342.23</v>
      </c>
      <c r="K160" s="235">
        <v>335447.96999999997</v>
      </c>
      <c r="L160" s="297">
        <v>345756.7</v>
      </c>
      <c r="M160" s="297">
        <v>395711.19</v>
      </c>
      <c r="N160" s="297">
        <v>443653.19</v>
      </c>
      <c r="O160" s="282">
        <f t="shared" si="2"/>
        <v>47942</v>
      </c>
      <c r="P160" s="288" t="s">
        <v>1042</v>
      </c>
      <c r="Q160" t="s">
        <v>1043</v>
      </c>
      <c r="R160" s="294">
        <f>N168-M168</f>
        <v>6257</v>
      </c>
      <c r="T160" t="s">
        <v>965</v>
      </c>
      <c r="U160" s="2" t="s">
        <v>76</v>
      </c>
    </row>
    <row r="161" spans="1:21" x14ac:dyDescent="0.3">
      <c r="A161" t="s">
        <v>897</v>
      </c>
      <c r="B161" t="s">
        <v>899</v>
      </c>
      <c r="C161" s="235">
        <v>76252.210000000006</v>
      </c>
      <c r="D161" s="263">
        <v>76252.210000000006</v>
      </c>
      <c r="E161" s="263">
        <v>76252.210000000006</v>
      </c>
      <c r="F161" s="235">
        <v>76252.210000000006</v>
      </c>
      <c r="G161" s="235">
        <v>76252.210000000006</v>
      </c>
      <c r="H161" s="235">
        <v>76252.210000000006</v>
      </c>
      <c r="I161" s="235">
        <v>76252.210000000006</v>
      </c>
      <c r="J161" s="235">
        <v>76252.210000000006</v>
      </c>
      <c r="K161" s="235">
        <v>76252.210000000006</v>
      </c>
      <c r="L161" s="297">
        <v>76252.210000000006</v>
      </c>
      <c r="M161" s="297">
        <v>76252.210000000006</v>
      </c>
      <c r="N161" s="297">
        <v>76252.210000000006</v>
      </c>
      <c r="O161" s="282">
        <f t="shared" si="2"/>
        <v>0</v>
      </c>
      <c r="P161" s="289" t="s">
        <v>402</v>
      </c>
      <c r="Q161" s="290" t="s">
        <v>670</v>
      </c>
      <c r="R161" s="295">
        <f>N198-M198</f>
        <v>43812.449999999953</v>
      </c>
      <c r="T161" t="s">
        <v>965</v>
      </c>
      <c r="U161" s="2" t="s">
        <v>76</v>
      </c>
    </row>
    <row r="162" spans="1:21" x14ac:dyDescent="0.3">
      <c r="A162" t="s">
        <v>898</v>
      </c>
      <c r="B162" t="s">
        <v>900</v>
      </c>
      <c r="C162" s="235">
        <v>-98246.3</v>
      </c>
      <c r="D162" s="263">
        <v>-97406.05</v>
      </c>
      <c r="E162" s="263">
        <v>-91053.84</v>
      </c>
      <c r="F162" s="235">
        <v>-86067.55</v>
      </c>
      <c r="G162" s="235">
        <v>-93319.48</v>
      </c>
      <c r="H162" s="235">
        <v>-93717.93</v>
      </c>
      <c r="I162" s="235">
        <v>-76220.59</v>
      </c>
      <c r="J162" s="235">
        <v>-72643.61</v>
      </c>
      <c r="K162" s="235">
        <v>-84407.6</v>
      </c>
      <c r="L162" s="297">
        <v>-63884.37</v>
      </c>
      <c r="M162" s="297">
        <v>-114259.56</v>
      </c>
      <c r="N162" s="297">
        <v>-149509.28</v>
      </c>
      <c r="R162" s="282">
        <f>SUM(R158:R161)</f>
        <v>177096.11999999965</v>
      </c>
      <c r="T162" t="s">
        <v>965</v>
      </c>
      <c r="U162" s="2" t="s">
        <v>76</v>
      </c>
    </row>
    <row r="163" spans="1:21" x14ac:dyDescent="0.3">
      <c r="A163" s="277" t="s">
        <v>370</v>
      </c>
      <c r="B163" t="s">
        <v>650</v>
      </c>
      <c r="C163" s="235">
        <v>86231.43</v>
      </c>
      <c r="D163" s="263">
        <v>184312.23</v>
      </c>
      <c r="E163" s="263">
        <v>290301.81</v>
      </c>
      <c r="F163" s="235">
        <v>367531.01</v>
      </c>
      <c r="G163" s="235">
        <v>462533.11</v>
      </c>
      <c r="H163" s="235">
        <v>630661.31999999995</v>
      </c>
      <c r="I163" s="235">
        <v>712859.5</v>
      </c>
      <c r="J163" s="235">
        <v>782469.61</v>
      </c>
      <c r="K163" s="235">
        <v>872893.64</v>
      </c>
      <c r="L163" s="297">
        <v>952170.47</v>
      </c>
      <c r="M163" s="297">
        <v>1057798.78</v>
      </c>
      <c r="N163" s="297">
        <v>1113599.72</v>
      </c>
      <c r="Q163" s="281" t="s">
        <v>1048</v>
      </c>
      <c r="R163" s="282">
        <v>274396.08573260898</v>
      </c>
      <c r="T163" t="s">
        <v>965</v>
      </c>
      <c r="U163" s="2" t="s">
        <v>76</v>
      </c>
    </row>
    <row r="164" spans="1:21" x14ac:dyDescent="0.3">
      <c r="A164" s="277" t="s">
        <v>1055</v>
      </c>
      <c r="B164" t="s">
        <v>1056</v>
      </c>
      <c r="D164" s="263"/>
      <c r="E164" s="263"/>
      <c r="N164" s="297">
        <v>250</v>
      </c>
      <c r="Q164" s="281"/>
      <c r="T164"/>
      <c r="U164" s="2"/>
    </row>
    <row r="165" spans="1:21" x14ac:dyDescent="0.3">
      <c r="A165" t="s">
        <v>371</v>
      </c>
      <c r="B165" t="s">
        <v>651</v>
      </c>
      <c r="C165" s="235">
        <v>3961298.71</v>
      </c>
      <c r="D165" s="263">
        <v>3961298.71</v>
      </c>
      <c r="E165" s="263">
        <v>3961298.71</v>
      </c>
      <c r="F165" s="235">
        <v>3961298.71</v>
      </c>
      <c r="G165" s="235">
        <v>3961298.71</v>
      </c>
      <c r="H165" s="235">
        <v>3961298.71</v>
      </c>
      <c r="I165" s="235">
        <v>3961298.71</v>
      </c>
      <c r="J165" s="235">
        <v>3961298.71</v>
      </c>
      <c r="K165" s="235">
        <v>3961298.71</v>
      </c>
      <c r="L165" s="297">
        <v>3961298.71</v>
      </c>
      <c r="M165" s="297">
        <v>3961298.71</v>
      </c>
      <c r="N165" s="297">
        <v>3961298.71</v>
      </c>
      <c r="R165" s="282">
        <f>R163-R162</f>
        <v>97299.965732609329</v>
      </c>
      <c r="T165" t="s">
        <v>965</v>
      </c>
      <c r="U165" s="2" t="s">
        <v>76</v>
      </c>
    </row>
    <row r="166" spans="1:21" x14ac:dyDescent="0.3">
      <c r="A166" s="277" t="s">
        <v>372</v>
      </c>
      <c r="B166" t="s">
        <v>652</v>
      </c>
      <c r="C166" s="235">
        <v>-3974458.88</v>
      </c>
      <c r="D166" s="263">
        <v>-4044868.78</v>
      </c>
      <c r="E166" s="263">
        <v>-4087178.05</v>
      </c>
      <c r="F166" s="235">
        <v>-3996065.24</v>
      </c>
      <c r="G166" s="235">
        <v>-3986553.92</v>
      </c>
      <c r="H166" s="235">
        <v>-4025843.17</v>
      </c>
      <c r="I166" s="235">
        <v>-4067885.36</v>
      </c>
      <c r="J166" s="235">
        <v>-3919349.38</v>
      </c>
      <c r="K166" s="235">
        <v>-3982212.22</v>
      </c>
      <c r="L166" s="297">
        <v>-4038851.43</v>
      </c>
      <c r="M166" s="297">
        <v>-4152259.61</v>
      </c>
      <c r="N166" s="297">
        <v>-4123745.16</v>
      </c>
      <c r="P166" s="283"/>
      <c r="Q166" s="281"/>
      <c r="R166" s="281"/>
      <c r="T166" t="s">
        <v>965</v>
      </c>
      <c r="U166" s="2" t="s">
        <v>76</v>
      </c>
    </row>
    <row r="167" spans="1:21" x14ac:dyDescent="0.3">
      <c r="A167" s="277" t="s">
        <v>373</v>
      </c>
      <c r="B167" t="s">
        <v>653</v>
      </c>
      <c r="C167" s="235">
        <v>136489.57</v>
      </c>
      <c r="D167" s="263">
        <v>304969.38</v>
      </c>
      <c r="E167" s="263">
        <v>425539.04</v>
      </c>
      <c r="F167" s="235">
        <v>496782.54</v>
      </c>
      <c r="G167" s="235">
        <v>674483.4</v>
      </c>
      <c r="H167" s="235">
        <v>801450.76</v>
      </c>
      <c r="I167" s="235">
        <v>1004158.62</v>
      </c>
      <c r="J167" s="235">
        <v>1204883.93</v>
      </c>
      <c r="K167" s="235">
        <v>1350623.71</v>
      </c>
      <c r="L167" s="297">
        <v>1489430.83</v>
      </c>
      <c r="M167" s="297">
        <v>1664113.48</v>
      </c>
      <c r="N167" s="297">
        <v>1762625.7</v>
      </c>
      <c r="P167" s="284"/>
      <c r="T167" t="s">
        <v>965</v>
      </c>
      <c r="U167" s="2" t="s">
        <v>76</v>
      </c>
    </row>
    <row r="168" spans="1:21" x14ac:dyDescent="0.3">
      <c r="A168" s="277" t="s">
        <v>1042</v>
      </c>
      <c r="B168" t="s">
        <v>1043</v>
      </c>
      <c r="D168" s="263"/>
      <c r="E168" s="263"/>
      <c r="I168" s="235">
        <v>50940.53</v>
      </c>
      <c r="J168" s="235">
        <v>128699.68</v>
      </c>
      <c r="K168" s="235">
        <v>166192.35999999999</v>
      </c>
      <c r="L168" s="297">
        <v>207182.28</v>
      </c>
      <c r="M168" s="297">
        <v>225834.89</v>
      </c>
      <c r="N168" s="297">
        <v>232091.89</v>
      </c>
      <c r="P168" s="285"/>
      <c r="T168"/>
      <c r="U168" s="2"/>
    </row>
    <row r="169" spans="1:21" x14ac:dyDescent="0.3">
      <c r="A169" t="s">
        <v>374</v>
      </c>
      <c r="B169" t="s">
        <v>654</v>
      </c>
      <c r="C169" s="235">
        <v>2375.1799999999998</v>
      </c>
      <c r="D169" s="263">
        <v>7991.27</v>
      </c>
      <c r="E169" s="263">
        <v>11688.59</v>
      </c>
      <c r="F169" s="235">
        <v>13812.01</v>
      </c>
      <c r="G169" s="235">
        <v>14558.11</v>
      </c>
      <c r="H169" s="235">
        <v>17125.32</v>
      </c>
      <c r="I169" s="235">
        <v>18895.64</v>
      </c>
      <c r="J169" s="235">
        <v>21215.54</v>
      </c>
      <c r="K169" s="235">
        <v>22689.84</v>
      </c>
      <c r="L169" s="297">
        <v>26755.040000000001</v>
      </c>
      <c r="M169" s="297">
        <v>28105.759999999998</v>
      </c>
      <c r="N169" s="297">
        <v>29491.27</v>
      </c>
      <c r="P169" s="285"/>
      <c r="T169" t="s">
        <v>965</v>
      </c>
      <c r="U169" s="2" t="s">
        <v>76</v>
      </c>
    </row>
    <row r="170" spans="1:21" x14ac:dyDescent="0.3">
      <c r="A170" t="s">
        <v>375</v>
      </c>
      <c r="B170" t="s">
        <v>1015</v>
      </c>
      <c r="C170" s="235">
        <v>345.81</v>
      </c>
      <c r="D170" s="263">
        <v>691.62</v>
      </c>
      <c r="E170" s="263">
        <v>1037.43</v>
      </c>
      <c r="F170" s="235">
        <v>1383.24</v>
      </c>
      <c r="G170" s="235">
        <v>1729.05</v>
      </c>
      <c r="H170" s="235">
        <v>2074.86</v>
      </c>
      <c r="I170" s="235">
        <v>2420.67</v>
      </c>
      <c r="J170" s="235">
        <v>3024.47</v>
      </c>
      <c r="K170" s="235">
        <v>3692.83</v>
      </c>
      <c r="L170" s="297">
        <v>4333.03</v>
      </c>
      <c r="M170" s="297">
        <v>5074.1000000000004</v>
      </c>
      <c r="N170" s="297">
        <v>5838.41</v>
      </c>
      <c r="P170" s="285"/>
      <c r="T170" t="s">
        <v>965</v>
      </c>
      <c r="U170" s="2" t="s">
        <v>76</v>
      </c>
    </row>
    <row r="171" spans="1:21" x14ac:dyDescent="0.3">
      <c r="A171" t="s">
        <v>376</v>
      </c>
      <c r="B171" t="s">
        <v>655</v>
      </c>
      <c r="C171" s="235">
        <v>4604.2299999999996</v>
      </c>
      <c r="D171" s="263">
        <v>6904.11</v>
      </c>
      <c r="E171" s="263">
        <v>8384.58</v>
      </c>
      <c r="F171" s="235">
        <v>10351.85</v>
      </c>
      <c r="G171" s="235">
        <v>11521.88</v>
      </c>
      <c r="H171" s="235">
        <v>12355.51</v>
      </c>
      <c r="I171" s="235">
        <v>14131.19</v>
      </c>
      <c r="J171" s="235">
        <v>16847.82</v>
      </c>
      <c r="K171" s="235">
        <v>18131.93</v>
      </c>
      <c r="L171" s="297">
        <v>20662.990000000002</v>
      </c>
      <c r="M171" s="297">
        <v>21160.1</v>
      </c>
      <c r="N171" s="297">
        <v>21501.42</v>
      </c>
      <c r="P171" s="283"/>
      <c r="T171" t="s">
        <v>965</v>
      </c>
      <c r="U171" s="2" t="s">
        <v>76</v>
      </c>
    </row>
    <row r="172" spans="1:21" x14ac:dyDescent="0.3">
      <c r="A172" t="s">
        <v>515</v>
      </c>
      <c r="B172" t="s">
        <v>516</v>
      </c>
      <c r="C172" s="235">
        <v>2609943.39</v>
      </c>
      <c r="D172" s="263">
        <v>2609943.39</v>
      </c>
      <c r="E172" s="263">
        <v>2609943.39</v>
      </c>
      <c r="F172" s="235">
        <v>2609943.39</v>
      </c>
      <c r="G172" s="235">
        <v>2609943.39</v>
      </c>
      <c r="H172" s="235">
        <v>2609943.39</v>
      </c>
      <c r="I172" s="235">
        <v>2609943.39</v>
      </c>
      <c r="J172" s="235">
        <v>2609943.39</v>
      </c>
      <c r="K172" s="235">
        <v>2609943.39</v>
      </c>
      <c r="L172" s="297">
        <v>2609943.39</v>
      </c>
      <c r="M172" s="297">
        <v>2609943.39</v>
      </c>
      <c r="N172" s="297">
        <v>2609943.39</v>
      </c>
      <c r="P172" s="283"/>
      <c r="T172" t="s">
        <v>965</v>
      </c>
      <c r="U172" s="2" t="s">
        <v>76</v>
      </c>
    </row>
    <row r="173" spans="1:21" x14ac:dyDescent="0.3">
      <c r="A173" t="s">
        <v>517</v>
      </c>
      <c r="B173" t="s">
        <v>518</v>
      </c>
      <c r="C173" s="235">
        <v>-2410963.98</v>
      </c>
      <c r="D173" s="263">
        <v>-3040673.19</v>
      </c>
      <c r="E173" s="263">
        <v>-4292894.3899999997</v>
      </c>
      <c r="F173" s="235">
        <v>-3381684.24</v>
      </c>
      <c r="G173" s="235">
        <v>-3852798.2</v>
      </c>
      <c r="H173" s="235">
        <v>-2947986.23</v>
      </c>
      <c r="I173" s="235">
        <v>-2001381.25</v>
      </c>
      <c r="J173" s="235">
        <v>-1386800.84</v>
      </c>
      <c r="K173" s="235">
        <v>-1095880.92</v>
      </c>
      <c r="L173" s="297">
        <v>-640319.73</v>
      </c>
      <c r="M173" s="297">
        <v>-331082.78999999998</v>
      </c>
      <c r="N173" s="297">
        <v>0</v>
      </c>
      <c r="T173" t="s">
        <v>965</v>
      </c>
      <c r="U173" s="2" t="s">
        <v>76</v>
      </c>
    </row>
    <row r="174" spans="1:21" x14ac:dyDescent="0.3">
      <c r="A174" t="s">
        <v>512</v>
      </c>
      <c r="B174" t="s">
        <v>525</v>
      </c>
      <c r="C174" s="235">
        <v>1609182.16</v>
      </c>
      <c r="D174" s="263">
        <v>4513683.1399999997</v>
      </c>
      <c r="E174" s="263">
        <v>7383298.8200000003</v>
      </c>
      <c r="F174" s="235">
        <v>8037312.9299999997</v>
      </c>
      <c r="G174" s="235">
        <v>10670043.48</v>
      </c>
      <c r="H174" s="235">
        <v>10896622.49</v>
      </c>
      <c r="I174" s="235">
        <v>11303280.050000001</v>
      </c>
      <c r="J174" s="235">
        <v>11496930.09</v>
      </c>
      <c r="K174" s="235">
        <v>11867004.85</v>
      </c>
      <c r="L174" s="297">
        <v>13018410.35</v>
      </c>
      <c r="M174" s="297">
        <v>13085051.970000001</v>
      </c>
      <c r="N174" s="297">
        <v>13190697.84</v>
      </c>
      <c r="O174" s="282">
        <f t="shared" ref="O174" si="3">N174-M174</f>
        <v>105645.86999999918</v>
      </c>
      <c r="T174" t="s">
        <v>965</v>
      </c>
      <c r="U174" s="2" t="s">
        <v>76</v>
      </c>
    </row>
    <row r="175" spans="1:21" x14ac:dyDescent="0.3">
      <c r="A175" t="s">
        <v>519</v>
      </c>
      <c r="B175" t="s">
        <v>520</v>
      </c>
      <c r="C175" s="235">
        <v>0</v>
      </c>
      <c r="D175" s="263">
        <v>28547.83</v>
      </c>
      <c r="E175" s="263">
        <v>46624.11</v>
      </c>
      <c r="F175" s="235">
        <v>90846.88</v>
      </c>
      <c r="G175" s="235">
        <v>111911.67</v>
      </c>
      <c r="H175" s="235">
        <v>112733.07</v>
      </c>
      <c r="I175" s="235">
        <v>112733.07</v>
      </c>
      <c r="J175" s="235">
        <v>112733.07</v>
      </c>
      <c r="K175" s="235">
        <v>112733.07</v>
      </c>
      <c r="L175" s="297">
        <v>112733.07</v>
      </c>
      <c r="M175" s="297">
        <v>112733.07</v>
      </c>
      <c r="N175" s="297">
        <v>112733.07</v>
      </c>
      <c r="P175" s="281"/>
      <c r="T175" t="s">
        <v>965</v>
      </c>
      <c r="U175" s="2" t="s">
        <v>76</v>
      </c>
    </row>
    <row r="176" spans="1:21" x14ac:dyDescent="0.3">
      <c r="A176" t="s">
        <v>383</v>
      </c>
      <c r="B176" t="s">
        <v>521</v>
      </c>
      <c r="C176" s="235">
        <v>0</v>
      </c>
      <c r="D176" s="263">
        <v>0</v>
      </c>
      <c r="E176" s="263">
        <v>0</v>
      </c>
      <c r="F176" s="235">
        <v>0</v>
      </c>
      <c r="G176" s="235">
        <v>0</v>
      </c>
      <c r="H176" s="235">
        <v>0</v>
      </c>
      <c r="I176" s="235">
        <v>0</v>
      </c>
      <c r="J176" s="235">
        <v>0</v>
      </c>
      <c r="K176" s="235">
        <v>0</v>
      </c>
      <c r="L176" s="297">
        <v>0</v>
      </c>
      <c r="M176" s="297">
        <v>0</v>
      </c>
      <c r="N176" s="297">
        <v>0</v>
      </c>
      <c r="T176" t="s">
        <v>965</v>
      </c>
      <c r="U176" s="2" t="s">
        <v>76</v>
      </c>
    </row>
    <row r="177" spans="1:21" x14ac:dyDescent="0.3">
      <c r="A177" t="s">
        <v>384</v>
      </c>
      <c r="B177" t="s">
        <v>656</v>
      </c>
      <c r="C177" s="235">
        <v>541014.19999999995</v>
      </c>
      <c r="D177" s="263">
        <v>965336.91</v>
      </c>
      <c r="E177" s="263">
        <v>1354361.87</v>
      </c>
      <c r="F177" s="235">
        <v>1705755</v>
      </c>
      <c r="G177" s="235">
        <v>2128047.4500000002</v>
      </c>
      <c r="H177" s="235">
        <v>2466761.81</v>
      </c>
      <c r="I177" s="235">
        <v>2863708.66</v>
      </c>
      <c r="J177" s="235">
        <v>3089545.49</v>
      </c>
      <c r="K177" s="235">
        <v>3349062.18</v>
      </c>
      <c r="L177" s="297">
        <v>3572866.44</v>
      </c>
      <c r="M177" s="297">
        <v>3767365.86</v>
      </c>
      <c r="N177" s="297">
        <v>3943814.68</v>
      </c>
      <c r="T177" t="s">
        <v>965</v>
      </c>
      <c r="U177" s="2" t="s">
        <v>76</v>
      </c>
    </row>
    <row r="178" spans="1:21" x14ac:dyDescent="0.3">
      <c r="A178" t="s">
        <v>854</v>
      </c>
      <c r="B178" t="s">
        <v>855</v>
      </c>
      <c r="C178" s="235">
        <v>36355.42</v>
      </c>
      <c r="D178" s="263">
        <v>65782.81</v>
      </c>
      <c r="E178" s="263">
        <v>85842.89</v>
      </c>
      <c r="F178" s="235">
        <v>108021.4</v>
      </c>
      <c r="G178" s="235">
        <v>126319.18</v>
      </c>
      <c r="H178" s="235">
        <v>141348.4</v>
      </c>
      <c r="I178" s="235">
        <v>159792.03</v>
      </c>
      <c r="J178" s="235">
        <v>172292.34</v>
      </c>
      <c r="K178" s="235">
        <v>178459.88</v>
      </c>
      <c r="L178" s="297">
        <v>196591.49</v>
      </c>
      <c r="M178" s="297">
        <v>188375.44</v>
      </c>
      <c r="N178" s="297">
        <v>191474.22</v>
      </c>
      <c r="T178" t="s">
        <v>965</v>
      </c>
      <c r="U178" s="2" t="s">
        <v>76</v>
      </c>
    </row>
    <row r="179" spans="1:21" x14ac:dyDescent="0.3">
      <c r="A179" t="s">
        <v>788</v>
      </c>
      <c r="B179" t="s">
        <v>789</v>
      </c>
      <c r="C179" s="235">
        <v>0</v>
      </c>
      <c r="D179" s="263">
        <v>0</v>
      </c>
      <c r="E179" s="263">
        <v>0</v>
      </c>
      <c r="F179" s="235">
        <v>0</v>
      </c>
      <c r="G179" s="235">
        <v>0</v>
      </c>
      <c r="H179" s="235">
        <v>0</v>
      </c>
      <c r="I179" s="235">
        <v>0</v>
      </c>
      <c r="J179" s="235">
        <v>0</v>
      </c>
      <c r="K179" s="235">
        <v>0</v>
      </c>
      <c r="L179" s="297">
        <v>0</v>
      </c>
      <c r="M179" s="297">
        <v>0</v>
      </c>
      <c r="N179" s="297">
        <v>0</v>
      </c>
      <c r="T179" t="s">
        <v>965</v>
      </c>
      <c r="U179" s="2" t="s">
        <v>76</v>
      </c>
    </row>
    <row r="180" spans="1:21" x14ac:dyDescent="0.3">
      <c r="A180" t="s">
        <v>385</v>
      </c>
      <c r="B180" t="s">
        <v>657</v>
      </c>
      <c r="C180" s="235">
        <v>3230.1</v>
      </c>
      <c r="D180" s="263">
        <v>34935.1</v>
      </c>
      <c r="E180" s="263">
        <v>43705.1</v>
      </c>
      <c r="F180" s="235">
        <v>59680.1</v>
      </c>
      <c r="G180" s="235">
        <v>86915.09</v>
      </c>
      <c r="H180" s="235">
        <v>106015.08</v>
      </c>
      <c r="I180" s="235">
        <v>133322.04999999999</v>
      </c>
      <c r="J180" s="235">
        <v>149302.04</v>
      </c>
      <c r="K180" s="235">
        <v>162493.73000000001</v>
      </c>
      <c r="L180" s="297">
        <v>172619.47</v>
      </c>
      <c r="M180" s="297">
        <v>179565.05</v>
      </c>
      <c r="N180" s="297">
        <v>192400.05</v>
      </c>
      <c r="O180" s="282">
        <f t="shared" ref="O180" si="4">N180-M180</f>
        <v>12835</v>
      </c>
      <c r="P180" s="282">
        <f>M180-L180</f>
        <v>6945.5799999999872</v>
      </c>
      <c r="T180" t="s">
        <v>965</v>
      </c>
      <c r="U180" s="2" t="s">
        <v>76</v>
      </c>
    </row>
    <row r="181" spans="1:21" x14ac:dyDescent="0.3">
      <c r="A181" t="s">
        <v>387</v>
      </c>
      <c r="B181" t="s">
        <v>658</v>
      </c>
      <c r="C181" s="235">
        <v>35411.769999999997</v>
      </c>
      <c r="D181" s="263">
        <v>64432.51</v>
      </c>
      <c r="E181" s="263">
        <v>89186.21</v>
      </c>
      <c r="F181" s="235">
        <v>113840.85</v>
      </c>
      <c r="G181" s="235">
        <v>143322.07</v>
      </c>
      <c r="H181" s="235">
        <v>155977.06</v>
      </c>
      <c r="I181" s="235">
        <v>172313.33</v>
      </c>
      <c r="J181" s="235">
        <v>181543.31</v>
      </c>
      <c r="K181" s="235">
        <v>189363.66</v>
      </c>
      <c r="L181" s="297">
        <v>197334.85</v>
      </c>
      <c r="M181" s="297">
        <v>133303.78</v>
      </c>
      <c r="N181" s="297">
        <v>124246.19</v>
      </c>
      <c r="T181" t="s">
        <v>965</v>
      </c>
      <c r="U181" s="2" t="s">
        <v>76</v>
      </c>
    </row>
    <row r="182" spans="1:21" x14ac:dyDescent="0.3">
      <c r="A182" t="s">
        <v>388</v>
      </c>
      <c r="B182" t="s">
        <v>522</v>
      </c>
      <c r="C182" s="235">
        <v>0</v>
      </c>
      <c r="D182" s="263">
        <v>0</v>
      </c>
      <c r="E182" s="263">
        <v>0</v>
      </c>
      <c r="F182" s="235">
        <v>0</v>
      </c>
      <c r="G182" s="235">
        <v>0</v>
      </c>
      <c r="H182" s="235">
        <v>0</v>
      </c>
      <c r="I182" s="235">
        <v>0</v>
      </c>
      <c r="J182" s="235">
        <v>0</v>
      </c>
      <c r="K182" s="235">
        <v>0</v>
      </c>
      <c r="L182" s="297">
        <v>0</v>
      </c>
      <c r="M182" s="297">
        <v>0</v>
      </c>
      <c r="N182" s="297">
        <v>0</v>
      </c>
      <c r="T182" t="s">
        <v>965</v>
      </c>
      <c r="U182" s="2" t="s">
        <v>76</v>
      </c>
    </row>
    <row r="183" spans="1:21" x14ac:dyDescent="0.3">
      <c r="A183" t="s">
        <v>389</v>
      </c>
      <c r="B183" t="s">
        <v>659</v>
      </c>
      <c r="C183" s="235">
        <v>15832.47</v>
      </c>
      <c r="D183" s="263">
        <v>31664.94</v>
      </c>
      <c r="E183" s="263">
        <v>47497.41</v>
      </c>
      <c r="F183" s="235">
        <v>11012.71</v>
      </c>
      <c r="G183" s="235">
        <v>27018.27</v>
      </c>
      <c r="H183" s="235">
        <v>42850.74</v>
      </c>
      <c r="I183" s="235">
        <v>58683.21</v>
      </c>
      <c r="J183" s="235">
        <v>74515.679999999993</v>
      </c>
      <c r="K183" s="235">
        <v>90398.2</v>
      </c>
      <c r="L183" s="297">
        <v>106230.67</v>
      </c>
      <c r="M183" s="297">
        <v>122063.14</v>
      </c>
      <c r="N183" s="297">
        <v>137895.60999999999</v>
      </c>
      <c r="T183" t="s">
        <v>965</v>
      </c>
      <c r="U183" s="2" t="s">
        <v>76</v>
      </c>
    </row>
    <row r="184" spans="1:21" x14ac:dyDescent="0.3">
      <c r="A184" t="s">
        <v>481</v>
      </c>
      <c r="B184" t="s">
        <v>660</v>
      </c>
      <c r="C184" s="235">
        <v>0</v>
      </c>
      <c r="D184" s="263">
        <v>3145</v>
      </c>
      <c r="E184" s="263">
        <v>3586.56</v>
      </c>
      <c r="F184" s="235">
        <v>3586.56</v>
      </c>
      <c r="G184" s="235">
        <v>6736.56</v>
      </c>
      <c r="H184" s="235">
        <v>7336.54</v>
      </c>
      <c r="I184" s="235">
        <v>7336.54</v>
      </c>
      <c r="J184" s="235">
        <v>7336.54</v>
      </c>
      <c r="K184" s="235">
        <v>8746.5400000000009</v>
      </c>
      <c r="L184" s="297">
        <v>8746.5400000000009</v>
      </c>
      <c r="M184" s="297">
        <v>13124.12</v>
      </c>
      <c r="N184" s="297">
        <v>13124.12</v>
      </c>
      <c r="T184" t="s">
        <v>965</v>
      </c>
      <c r="U184" s="2" t="s">
        <v>76</v>
      </c>
    </row>
    <row r="185" spans="1:21" x14ac:dyDescent="0.3">
      <c r="A185" t="s">
        <v>483</v>
      </c>
      <c r="B185" t="s">
        <v>661</v>
      </c>
      <c r="C185" s="235">
        <v>27939.17</v>
      </c>
      <c r="D185" s="263">
        <v>60014.77</v>
      </c>
      <c r="E185" s="263">
        <v>91902.67</v>
      </c>
      <c r="F185" s="235">
        <v>123852.63</v>
      </c>
      <c r="G185" s="235">
        <v>155747.92000000001</v>
      </c>
      <c r="H185" s="235">
        <v>188827.42</v>
      </c>
      <c r="I185" s="235">
        <v>220274.78</v>
      </c>
      <c r="J185" s="235">
        <v>251989.98</v>
      </c>
      <c r="K185" s="235">
        <v>283307.03000000003</v>
      </c>
      <c r="L185" s="297">
        <v>314459.09000000003</v>
      </c>
      <c r="M185" s="297">
        <v>345546.47</v>
      </c>
      <c r="N185" s="297">
        <v>385813.68</v>
      </c>
      <c r="T185" t="s">
        <v>965</v>
      </c>
      <c r="U185" s="2" t="s">
        <v>76</v>
      </c>
    </row>
    <row r="186" spans="1:21" x14ac:dyDescent="0.3">
      <c r="A186" t="s">
        <v>390</v>
      </c>
      <c r="B186" t="s">
        <v>662</v>
      </c>
      <c r="C186" s="235">
        <v>2622.6</v>
      </c>
      <c r="D186" s="263">
        <v>5291.2</v>
      </c>
      <c r="E186" s="263">
        <v>7959.8</v>
      </c>
      <c r="F186" s="235">
        <v>13060.5</v>
      </c>
      <c r="G186" s="235">
        <v>16308.25</v>
      </c>
      <c r="H186" s="235">
        <v>19528.25</v>
      </c>
      <c r="I186" s="235">
        <v>22748.25</v>
      </c>
      <c r="J186" s="235">
        <v>25969.23</v>
      </c>
      <c r="K186" s="235">
        <v>29498.15</v>
      </c>
      <c r="L186" s="297">
        <v>32882.379999999997</v>
      </c>
      <c r="M186" s="297">
        <v>36894.28</v>
      </c>
      <c r="N186" s="297">
        <v>40159.839999999997</v>
      </c>
      <c r="T186" t="s">
        <v>965</v>
      </c>
      <c r="U186" s="2" t="s">
        <v>76</v>
      </c>
    </row>
    <row r="187" spans="1:21" x14ac:dyDescent="0.3">
      <c r="A187" t="s">
        <v>391</v>
      </c>
      <c r="B187" t="s">
        <v>663</v>
      </c>
      <c r="C187" s="235">
        <v>4351.29</v>
      </c>
      <c r="D187" s="263">
        <v>7977</v>
      </c>
      <c r="E187" s="263">
        <v>11527.71</v>
      </c>
      <c r="F187" s="235">
        <v>12069.85</v>
      </c>
      <c r="G187" s="235">
        <v>15912.61</v>
      </c>
      <c r="H187" s="235">
        <v>19132.189999999999</v>
      </c>
      <c r="I187" s="235">
        <v>24083.03</v>
      </c>
      <c r="J187" s="235">
        <v>27349.62</v>
      </c>
      <c r="K187" s="235">
        <v>31063.29</v>
      </c>
      <c r="L187" s="297">
        <v>36897.81</v>
      </c>
      <c r="M187" s="297">
        <v>42225.29</v>
      </c>
      <c r="N187" s="297">
        <v>44534.57</v>
      </c>
      <c r="T187" t="s">
        <v>965</v>
      </c>
      <c r="U187" s="2" t="s">
        <v>76</v>
      </c>
    </row>
    <row r="188" spans="1:21" x14ac:dyDescent="0.3">
      <c r="A188" t="s">
        <v>485</v>
      </c>
      <c r="B188" t="s">
        <v>664</v>
      </c>
      <c r="C188" s="235">
        <v>0</v>
      </c>
      <c r="D188" s="263">
        <v>0</v>
      </c>
      <c r="E188" s="263"/>
      <c r="F188" s="235">
        <v>0</v>
      </c>
      <c r="G188" s="235">
        <v>0</v>
      </c>
      <c r="H188" s="235">
        <v>0</v>
      </c>
      <c r="I188" s="235">
        <v>0</v>
      </c>
      <c r="J188" s="235">
        <v>0</v>
      </c>
      <c r="K188" s="235">
        <v>0</v>
      </c>
      <c r="L188" s="297">
        <v>0</v>
      </c>
      <c r="M188" s="297">
        <v>0</v>
      </c>
      <c r="N188" s="297">
        <v>0</v>
      </c>
      <c r="T188" t="s">
        <v>965</v>
      </c>
      <c r="U188" s="2" t="s">
        <v>76</v>
      </c>
    </row>
    <row r="189" spans="1:21" x14ac:dyDescent="0.3">
      <c r="A189" t="s">
        <v>392</v>
      </c>
      <c r="B189" t="s">
        <v>156</v>
      </c>
      <c r="C189" s="235">
        <v>0</v>
      </c>
      <c r="D189" s="263">
        <v>0</v>
      </c>
      <c r="E189" s="263">
        <v>0</v>
      </c>
      <c r="F189" s="235">
        <v>0</v>
      </c>
      <c r="G189" s="235">
        <v>0</v>
      </c>
      <c r="H189" s="235">
        <v>20804.099999999999</v>
      </c>
      <c r="I189" s="235">
        <v>20804.099999999999</v>
      </c>
      <c r="J189" s="235">
        <v>20804.099999999999</v>
      </c>
      <c r="K189" s="235">
        <v>20804.099999999999</v>
      </c>
      <c r="L189" s="297">
        <v>20804.099999999999</v>
      </c>
      <c r="M189" s="297">
        <v>20804.099999999999</v>
      </c>
      <c r="N189" s="297">
        <v>20804.099999999999</v>
      </c>
      <c r="T189" t="s">
        <v>965</v>
      </c>
      <c r="U189" s="2" t="s">
        <v>76</v>
      </c>
    </row>
    <row r="190" spans="1:21" x14ac:dyDescent="0.3">
      <c r="A190" t="s">
        <v>393</v>
      </c>
      <c r="B190" t="s">
        <v>157</v>
      </c>
      <c r="C190" s="235">
        <v>2294.9499999999998</v>
      </c>
      <c r="D190" s="263">
        <v>2294.9499999999998</v>
      </c>
      <c r="E190" s="263">
        <v>2294.9499999999998</v>
      </c>
      <c r="F190" s="235">
        <v>2094.75</v>
      </c>
      <c r="G190" s="235">
        <v>7134.75</v>
      </c>
      <c r="H190" s="235">
        <v>16374.75</v>
      </c>
      <c r="I190" s="235">
        <v>16374.75</v>
      </c>
      <c r="J190" s="235">
        <v>16374.75</v>
      </c>
      <c r="K190" s="235">
        <v>18054.75</v>
      </c>
      <c r="L190" s="297">
        <v>24964.87</v>
      </c>
      <c r="M190" s="297">
        <v>24964.87</v>
      </c>
      <c r="N190" s="297">
        <v>25300.87</v>
      </c>
      <c r="T190" t="s">
        <v>965</v>
      </c>
      <c r="U190" s="2" t="s">
        <v>76</v>
      </c>
    </row>
    <row r="191" spans="1:21" x14ac:dyDescent="0.3">
      <c r="A191" t="s">
        <v>395</v>
      </c>
      <c r="B191" t="s">
        <v>665</v>
      </c>
      <c r="C191" s="235">
        <v>0</v>
      </c>
      <c r="D191" s="263">
        <v>0</v>
      </c>
      <c r="E191" s="263"/>
      <c r="F191" s="235">
        <v>0</v>
      </c>
      <c r="G191" s="235">
        <v>0</v>
      </c>
      <c r="H191" s="235">
        <v>0</v>
      </c>
      <c r="I191" s="235">
        <v>0</v>
      </c>
      <c r="J191" s="235">
        <v>0</v>
      </c>
      <c r="K191" s="235">
        <v>0</v>
      </c>
      <c r="L191" s="297">
        <v>0</v>
      </c>
      <c r="M191" s="297">
        <v>0</v>
      </c>
      <c r="N191" s="297">
        <v>0</v>
      </c>
      <c r="T191" t="s">
        <v>965</v>
      </c>
      <c r="U191" s="2" t="s">
        <v>76</v>
      </c>
    </row>
    <row r="192" spans="1:21" x14ac:dyDescent="0.3">
      <c r="A192" t="s">
        <v>396</v>
      </c>
      <c r="B192" t="s">
        <v>765</v>
      </c>
      <c r="C192" s="235">
        <v>0</v>
      </c>
      <c r="D192" s="263">
        <v>0</v>
      </c>
      <c r="E192" s="263"/>
      <c r="F192" s="235">
        <v>0</v>
      </c>
      <c r="G192" s="235">
        <v>0</v>
      </c>
      <c r="H192" s="235">
        <v>0</v>
      </c>
      <c r="I192" s="235">
        <v>0</v>
      </c>
      <c r="J192" s="235">
        <v>0</v>
      </c>
      <c r="K192" s="235">
        <v>0</v>
      </c>
      <c r="L192" s="297">
        <v>0</v>
      </c>
      <c r="M192" s="297">
        <v>0</v>
      </c>
      <c r="N192" s="297">
        <v>0</v>
      </c>
      <c r="T192" t="s">
        <v>965</v>
      </c>
      <c r="U192" s="2" t="s">
        <v>76</v>
      </c>
    </row>
    <row r="193" spans="1:21" x14ac:dyDescent="0.3">
      <c r="A193" t="s">
        <v>397</v>
      </c>
      <c r="B193" t="s">
        <v>158</v>
      </c>
      <c r="C193" s="235">
        <v>0</v>
      </c>
      <c r="D193" s="263">
        <v>0</v>
      </c>
      <c r="E193" s="263"/>
      <c r="F193" s="235">
        <v>0</v>
      </c>
      <c r="G193" s="235">
        <v>0</v>
      </c>
      <c r="H193" s="235">
        <v>0</v>
      </c>
      <c r="I193" s="235">
        <v>0</v>
      </c>
      <c r="J193" s="235">
        <v>0</v>
      </c>
      <c r="K193" s="235">
        <v>0</v>
      </c>
      <c r="L193" s="297">
        <v>0</v>
      </c>
      <c r="M193" s="297">
        <v>0</v>
      </c>
      <c r="N193" s="297">
        <v>0</v>
      </c>
      <c r="T193" t="s">
        <v>965</v>
      </c>
      <c r="U193" s="2" t="s">
        <v>76</v>
      </c>
    </row>
    <row r="194" spans="1:21" x14ac:dyDescent="0.3">
      <c r="A194" t="s">
        <v>398</v>
      </c>
      <c r="B194" t="s">
        <v>666</v>
      </c>
      <c r="C194" s="235">
        <v>0</v>
      </c>
      <c r="D194" s="263">
        <v>0</v>
      </c>
      <c r="E194" s="263"/>
      <c r="F194" s="235">
        <v>0</v>
      </c>
      <c r="G194" s="235">
        <v>0</v>
      </c>
      <c r="H194" s="235">
        <v>0</v>
      </c>
      <c r="I194" s="235">
        <v>0</v>
      </c>
      <c r="J194" s="235">
        <v>0</v>
      </c>
      <c r="K194" s="235">
        <v>0</v>
      </c>
      <c r="L194" s="297">
        <v>0</v>
      </c>
      <c r="M194" s="297">
        <v>0</v>
      </c>
      <c r="N194" s="297">
        <v>0</v>
      </c>
      <c r="T194" t="s">
        <v>965</v>
      </c>
      <c r="U194" s="2" t="s">
        <v>76</v>
      </c>
    </row>
    <row r="195" spans="1:21" x14ac:dyDescent="0.3">
      <c r="A195" t="s">
        <v>399</v>
      </c>
      <c r="B195" t="s">
        <v>667</v>
      </c>
      <c r="C195" s="235">
        <v>0</v>
      </c>
      <c r="D195" s="263">
        <v>0</v>
      </c>
      <c r="E195" s="263">
        <v>0</v>
      </c>
      <c r="F195" s="235">
        <v>0</v>
      </c>
      <c r="G195" s="235">
        <v>0</v>
      </c>
      <c r="H195" s="235">
        <v>0</v>
      </c>
      <c r="I195" s="235">
        <v>0</v>
      </c>
      <c r="J195" s="235">
        <v>0</v>
      </c>
      <c r="K195" s="235">
        <v>0</v>
      </c>
      <c r="L195" s="297">
        <v>0</v>
      </c>
      <c r="M195" s="297">
        <v>0</v>
      </c>
      <c r="N195" s="297">
        <v>0</v>
      </c>
      <c r="T195" t="s">
        <v>965</v>
      </c>
      <c r="U195" s="2" t="s">
        <v>76</v>
      </c>
    </row>
    <row r="196" spans="1:21" x14ac:dyDescent="0.3">
      <c r="A196" t="s">
        <v>400</v>
      </c>
      <c r="B196" t="s">
        <v>668</v>
      </c>
      <c r="C196" s="235">
        <v>27392.12</v>
      </c>
      <c r="D196" s="263">
        <v>54621.91</v>
      </c>
      <c r="E196" s="263">
        <v>92770.87</v>
      </c>
      <c r="F196" s="235">
        <v>110637.73</v>
      </c>
      <c r="G196" s="235">
        <v>132830.60999999999</v>
      </c>
      <c r="H196" s="235">
        <v>142170.64000000001</v>
      </c>
      <c r="I196" s="235">
        <v>167582.42000000001</v>
      </c>
      <c r="J196" s="235">
        <v>176430.88</v>
      </c>
      <c r="K196" s="235">
        <v>192148.36</v>
      </c>
      <c r="L196" s="297">
        <v>214930</v>
      </c>
      <c r="M196" s="297">
        <v>226091.55</v>
      </c>
      <c r="N196" s="297">
        <v>235505.32</v>
      </c>
      <c r="T196" t="s">
        <v>965</v>
      </c>
      <c r="U196" s="2" t="s">
        <v>76</v>
      </c>
    </row>
    <row r="197" spans="1:21" x14ac:dyDescent="0.3">
      <c r="A197" t="s">
        <v>401</v>
      </c>
      <c r="B197" t="s">
        <v>669</v>
      </c>
      <c r="C197" s="235">
        <v>0</v>
      </c>
      <c r="D197" s="263">
        <v>0</v>
      </c>
      <c r="E197" s="263">
        <v>0</v>
      </c>
      <c r="F197" s="235">
        <v>0</v>
      </c>
      <c r="G197" s="235">
        <v>0</v>
      </c>
      <c r="H197" s="235">
        <v>0</v>
      </c>
      <c r="I197" s="235">
        <v>0</v>
      </c>
      <c r="J197" s="235">
        <v>0</v>
      </c>
      <c r="K197" s="235">
        <v>0</v>
      </c>
      <c r="L197" s="297">
        <v>0</v>
      </c>
      <c r="M197" s="297">
        <v>12441.54</v>
      </c>
      <c r="N197" s="297">
        <v>16874.54</v>
      </c>
      <c r="T197" t="s">
        <v>965</v>
      </c>
      <c r="U197" s="2" t="s">
        <v>76</v>
      </c>
    </row>
    <row r="198" spans="1:21" x14ac:dyDescent="0.3">
      <c r="A198" s="277" t="s">
        <v>402</v>
      </c>
      <c r="B198" t="s">
        <v>670</v>
      </c>
      <c r="C198" s="235">
        <v>137021.34</v>
      </c>
      <c r="D198" s="263">
        <v>259591.23</v>
      </c>
      <c r="E198" s="263">
        <v>438905.23</v>
      </c>
      <c r="F198" s="235">
        <v>525366.94999999995</v>
      </c>
      <c r="G198" s="235">
        <v>598372.54</v>
      </c>
      <c r="H198" s="235">
        <v>731889.13</v>
      </c>
      <c r="I198" s="235">
        <v>781291.54</v>
      </c>
      <c r="J198" s="235">
        <v>1343150.87</v>
      </c>
      <c r="K198" s="235">
        <v>1482496.08</v>
      </c>
      <c r="L198" s="297">
        <v>1579333.94</v>
      </c>
      <c r="M198" s="297">
        <v>1759650.06</v>
      </c>
      <c r="N198" s="297">
        <v>1803462.51</v>
      </c>
      <c r="T198" t="s">
        <v>965</v>
      </c>
      <c r="U198" s="2" t="s">
        <v>76</v>
      </c>
    </row>
    <row r="199" spans="1:21" x14ac:dyDescent="0.3">
      <c r="A199" t="s">
        <v>403</v>
      </c>
      <c r="B199" t="s">
        <v>230</v>
      </c>
      <c r="C199" s="235">
        <v>7640</v>
      </c>
      <c r="D199" s="263">
        <v>9684.75</v>
      </c>
      <c r="E199" s="263">
        <v>11729.5</v>
      </c>
      <c r="F199" s="235">
        <v>16574.82</v>
      </c>
      <c r="G199" s="235">
        <v>20569.23</v>
      </c>
      <c r="H199" s="235">
        <v>20747.23</v>
      </c>
      <c r="I199" s="235">
        <v>22230.69</v>
      </c>
      <c r="J199" s="235">
        <v>24261.59</v>
      </c>
      <c r="K199" s="235">
        <v>26686.59</v>
      </c>
      <c r="L199" s="297">
        <v>28254.93</v>
      </c>
      <c r="M199" s="297">
        <v>28507.93</v>
      </c>
      <c r="N199" s="297">
        <v>28723.93</v>
      </c>
      <c r="T199" t="s">
        <v>965</v>
      </c>
      <c r="U199" s="2" t="s">
        <v>76</v>
      </c>
    </row>
    <row r="200" spans="1:21" x14ac:dyDescent="0.3">
      <c r="A200" t="s">
        <v>404</v>
      </c>
      <c r="B200" t="s">
        <v>671</v>
      </c>
      <c r="C200" s="235">
        <v>190344.17</v>
      </c>
      <c r="D200" s="263">
        <v>358141.55</v>
      </c>
      <c r="E200" s="263">
        <v>391132.44</v>
      </c>
      <c r="F200" s="235">
        <v>574976.73</v>
      </c>
      <c r="G200" s="235">
        <v>729483.96</v>
      </c>
      <c r="H200" s="235">
        <v>903418.34</v>
      </c>
      <c r="I200" s="235">
        <v>1068879.49</v>
      </c>
      <c r="J200" s="235">
        <v>1204644.32</v>
      </c>
      <c r="K200" s="235">
        <v>1494052.33</v>
      </c>
      <c r="L200" s="297">
        <v>1637988.32</v>
      </c>
      <c r="M200" s="297">
        <v>1777540.81</v>
      </c>
      <c r="N200" s="297">
        <v>1906823.03</v>
      </c>
      <c r="T200" t="s">
        <v>965</v>
      </c>
      <c r="U200" s="2" t="s">
        <v>76</v>
      </c>
    </row>
    <row r="201" spans="1:21" x14ac:dyDescent="0.3">
      <c r="A201" t="s">
        <v>405</v>
      </c>
      <c r="B201" t="s">
        <v>160</v>
      </c>
      <c r="C201" s="235">
        <v>272295.89</v>
      </c>
      <c r="D201" s="263">
        <v>547898.41</v>
      </c>
      <c r="E201" s="263">
        <v>819628.8</v>
      </c>
      <c r="F201" s="235">
        <v>1135016.58</v>
      </c>
      <c r="G201" s="235">
        <v>1442926.86</v>
      </c>
      <c r="H201" s="235">
        <v>1650437.3</v>
      </c>
      <c r="I201" s="235">
        <v>1909617.22</v>
      </c>
      <c r="J201" s="235">
        <v>2120063.39</v>
      </c>
      <c r="K201" s="235">
        <v>2336746.5299999998</v>
      </c>
      <c r="L201" s="297">
        <v>2569529.13</v>
      </c>
      <c r="M201" s="297">
        <v>2833516.32</v>
      </c>
      <c r="N201" s="297">
        <v>3067697.08</v>
      </c>
      <c r="T201" t="s">
        <v>965</v>
      </c>
      <c r="U201" s="2" t="s">
        <v>76</v>
      </c>
    </row>
    <row r="202" spans="1:21" x14ac:dyDescent="0.3">
      <c r="A202" t="s">
        <v>406</v>
      </c>
      <c r="B202" t="s">
        <v>141</v>
      </c>
      <c r="C202" s="235">
        <v>11073.8</v>
      </c>
      <c r="D202" s="263">
        <v>26323.35</v>
      </c>
      <c r="E202" s="263">
        <v>32083.9</v>
      </c>
      <c r="F202" s="235">
        <v>53377.83</v>
      </c>
      <c r="G202" s="235">
        <v>63009.11</v>
      </c>
      <c r="H202" s="235">
        <v>78948.259999999995</v>
      </c>
      <c r="I202" s="235">
        <v>81670.3</v>
      </c>
      <c r="J202" s="235">
        <v>89621.27</v>
      </c>
      <c r="K202" s="235">
        <v>103213.99</v>
      </c>
      <c r="L202" s="297">
        <v>111955.71</v>
      </c>
      <c r="M202" s="297">
        <v>125183.61</v>
      </c>
      <c r="N202" s="297">
        <v>130110.18</v>
      </c>
      <c r="T202" t="s">
        <v>965</v>
      </c>
      <c r="U202" s="2" t="s">
        <v>76</v>
      </c>
    </row>
    <row r="203" spans="1:21" x14ac:dyDescent="0.3">
      <c r="A203" t="s">
        <v>488</v>
      </c>
      <c r="B203" t="s">
        <v>672</v>
      </c>
      <c r="C203" s="235">
        <v>5615.01</v>
      </c>
      <c r="D203" s="263">
        <v>16212.43</v>
      </c>
      <c r="E203" s="263">
        <v>25761</v>
      </c>
      <c r="F203" s="235">
        <v>35761</v>
      </c>
      <c r="G203" s="235">
        <v>45793.08</v>
      </c>
      <c r="H203" s="235">
        <v>54793.08</v>
      </c>
      <c r="I203" s="235">
        <v>68586.289999999994</v>
      </c>
      <c r="J203" s="235">
        <v>78940.820000000007</v>
      </c>
      <c r="K203" s="235">
        <v>85829.33</v>
      </c>
      <c r="L203" s="297">
        <v>93666.87</v>
      </c>
      <c r="M203" s="297">
        <v>100227.36</v>
      </c>
      <c r="N203" s="297">
        <v>107729.64</v>
      </c>
      <c r="T203" t="s">
        <v>965</v>
      </c>
      <c r="U203" s="2" t="s">
        <v>76</v>
      </c>
    </row>
    <row r="204" spans="1:21" x14ac:dyDescent="0.3">
      <c r="A204" t="s">
        <v>490</v>
      </c>
      <c r="B204" t="s">
        <v>673</v>
      </c>
      <c r="C204" s="235">
        <v>5246.66</v>
      </c>
      <c r="D204" s="263">
        <v>14143.63</v>
      </c>
      <c r="E204" s="263">
        <v>21557.759999999998</v>
      </c>
      <c r="F204" s="235">
        <v>26207.119999999999</v>
      </c>
      <c r="G204" s="235">
        <v>38173.629999999997</v>
      </c>
      <c r="H204" s="235">
        <v>48852.18</v>
      </c>
      <c r="I204" s="235">
        <v>55170.559999999998</v>
      </c>
      <c r="J204" s="235">
        <v>69267.78</v>
      </c>
      <c r="K204" s="235">
        <v>75689.929999999993</v>
      </c>
      <c r="L204" s="297">
        <v>79288.759999999995</v>
      </c>
      <c r="M204" s="297">
        <v>85114.39</v>
      </c>
      <c r="N204" s="297">
        <v>89827.16</v>
      </c>
      <c r="T204" t="s">
        <v>965</v>
      </c>
      <c r="U204" s="2" t="s">
        <v>76</v>
      </c>
    </row>
    <row r="205" spans="1:21" x14ac:dyDescent="0.3">
      <c r="A205" t="s">
        <v>523</v>
      </c>
      <c r="B205" t="s">
        <v>524</v>
      </c>
      <c r="C205" s="235">
        <v>1635.42</v>
      </c>
      <c r="D205" s="263">
        <v>3202.98</v>
      </c>
      <c r="E205" s="263">
        <v>5916.99</v>
      </c>
      <c r="F205" s="235">
        <v>14849.53</v>
      </c>
      <c r="G205" s="235">
        <v>39188.17</v>
      </c>
      <c r="H205" s="235">
        <v>41267.5</v>
      </c>
      <c r="I205" s="235">
        <v>45431.19</v>
      </c>
      <c r="J205" s="235">
        <v>50495.99</v>
      </c>
      <c r="K205" s="235">
        <v>56148.73</v>
      </c>
      <c r="L205" s="297">
        <v>72237.59</v>
      </c>
      <c r="M205" s="297">
        <v>76012.44</v>
      </c>
      <c r="N205" s="297">
        <v>80876.58</v>
      </c>
      <c r="T205" t="s">
        <v>965</v>
      </c>
      <c r="U205" s="2" t="s">
        <v>76</v>
      </c>
    </row>
    <row r="206" spans="1:21" x14ac:dyDescent="0.3">
      <c r="A206" t="s">
        <v>463</v>
      </c>
      <c r="B206" t="s">
        <v>674</v>
      </c>
      <c r="C206" s="235">
        <v>0</v>
      </c>
      <c r="D206" s="263">
        <v>0</v>
      </c>
      <c r="E206" s="263">
        <v>0</v>
      </c>
      <c r="F206" s="235">
        <v>0</v>
      </c>
      <c r="G206" s="235">
        <v>0</v>
      </c>
      <c r="H206" s="235">
        <v>0</v>
      </c>
      <c r="I206" s="235">
        <v>0</v>
      </c>
      <c r="J206" s="235">
        <v>0</v>
      </c>
      <c r="K206" s="235">
        <v>0</v>
      </c>
      <c r="L206" s="297">
        <v>0</v>
      </c>
      <c r="M206" s="297">
        <v>0</v>
      </c>
      <c r="N206" s="297">
        <v>0</v>
      </c>
      <c r="T206" t="s">
        <v>965</v>
      </c>
      <c r="U206" s="2" t="s">
        <v>76</v>
      </c>
    </row>
    <row r="207" spans="1:21" x14ac:dyDescent="0.3">
      <c r="A207" s="315" t="s">
        <v>1064</v>
      </c>
      <c r="B207" s="315" t="s">
        <v>1065</v>
      </c>
      <c r="C207" s="316"/>
      <c r="D207" s="317"/>
      <c r="E207" s="317"/>
      <c r="F207" s="316"/>
      <c r="G207" s="316"/>
      <c r="H207" s="316"/>
      <c r="I207" s="316"/>
      <c r="J207" s="316"/>
      <c r="K207" s="316"/>
      <c r="L207" s="314"/>
      <c r="M207" s="314"/>
      <c r="N207" s="314">
        <v>43345.9</v>
      </c>
      <c r="T207"/>
      <c r="U207" s="2"/>
    </row>
    <row r="208" spans="1:21" x14ac:dyDescent="0.3">
      <c r="A208" t="s">
        <v>408</v>
      </c>
      <c r="B208" t="s">
        <v>675</v>
      </c>
      <c r="C208" s="235">
        <v>81.45</v>
      </c>
      <c r="D208" s="263">
        <v>475.32</v>
      </c>
      <c r="E208" s="263">
        <v>556.15</v>
      </c>
      <c r="F208" s="235">
        <v>556.15</v>
      </c>
      <c r="G208" s="235">
        <v>1245.3699999999999</v>
      </c>
      <c r="H208" s="235">
        <v>1795.42</v>
      </c>
      <c r="I208" s="235">
        <v>1759.57</v>
      </c>
      <c r="J208" s="235">
        <v>2675.42</v>
      </c>
      <c r="K208" s="235">
        <v>3241.75</v>
      </c>
      <c r="L208" s="297">
        <v>3598.13</v>
      </c>
      <c r="M208" s="297">
        <v>3920.47</v>
      </c>
      <c r="N208" s="297">
        <v>4500.29</v>
      </c>
      <c r="T208" t="s">
        <v>965</v>
      </c>
      <c r="U208" s="2" t="s">
        <v>76</v>
      </c>
    </row>
    <row r="209" spans="1:21" x14ac:dyDescent="0.3">
      <c r="A209" t="s">
        <v>409</v>
      </c>
      <c r="B209" t="s">
        <v>676</v>
      </c>
      <c r="C209" s="235">
        <v>393.71</v>
      </c>
      <c r="D209" s="263">
        <v>1840.46</v>
      </c>
      <c r="E209" s="263">
        <v>4499.8</v>
      </c>
      <c r="F209" s="235">
        <v>4850.95</v>
      </c>
      <c r="G209" s="235">
        <v>5929.94</v>
      </c>
      <c r="H209" s="235">
        <v>6574.34</v>
      </c>
      <c r="I209" s="235">
        <v>7030.74</v>
      </c>
      <c r="J209" s="235">
        <v>7389.14</v>
      </c>
      <c r="K209" s="235">
        <v>8753.81</v>
      </c>
      <c r="L209" s="297">
        <v>9657.4500000000007</v>
      </c>
      <c r="M209" s="297">
        <v>9709.4699999999993</v>
      </c>
      <c r="N209" s="297">
        <v>9933.94</v>
      </c>
      <c r="T209" t="s">
        <v>965</v>
      </c>
      <c r="U209" s="2" t="s">
        <v>76</v>
      </c>
    </row>
    <row r="210" spans="1:21" x14ac:dyDescent="0.3">
      <c r="A210" t="s">
        <v>410</v>
      </c>
      <c r="B210" t="s">
        <v>744</v>
      </c>
      <c r="C210" s="235">
        <v>0</v>
      </c>
      <c r="D210" s="263">
        <v>0</v>
      </c>
      <c r="E210" s="263"/>
      <c r="F210" s="235">
        <v>0</v>
      </c>
      <c r="G210" s="235">
        <v>0</v>
      </c>
      <c r="H210" s="235">
        <v>0</v>
      </c>
      <c r="I210" s="235">
        <v>0</v>
      </c>
      <c r="J210" s="235">
        <v>0</v>
      </c>
      <c r="K210" s="235">
        <v>0</v>
      </c>
      <c r="L210" s="297">
        <v>0</v>
      </c>
      <c r="M210" s="297">
        <v>0</v>
      </c>
      <c r="N210" s="297">
        <v>0</v>
      </c>
      <c r="T210" t="s">
        <v>965</v>
      </c>
      <c r="U210" s="2" t="s">
        <v>76</v>
      </c>
    </row>
    <row r="211" spans="1:21" x14ac:dyDescent="0.3">
      <c r="A211" t="s">
        <v>411</v>
      </c>
      <c r="B211" t="s">
        <v>677</v>
      </c>
      <c r="C211" s="235">
        <v>0</v>
      </c>
      <c r="D211" s="263">
        <v>0</v>
      </c>
      <c r="E211" s="263">
        <v>0</v>
      </c>
      <c r="F211" s="235">
        <v>0</v>
      </c>
      <c r="G211" s="235">
        <v>61.6</v>
      </c>
      <c r="H211" s="235">
        <v>61.6</v>
      </c>
      <c r="I211" s="235">
        <v>69.88</v>
      </c>
      <c r="J211" s="235">
        <v>86.56</v>
      </c>
      <c r="K211" s="235">
        <v>170.24</v>
      </c>
      <c r="L211" s="297">
        <v>170.24</v>
      </c>
      <c r="M211" s="297">
        <v>270.93</v>
      </c>
      <c r="N211" s="297">
        <v>302.37</v>
      </c>
      <c r="T211" t="s">
        <v>965</v>
      </c>
      <c r="U211" s="2" t="s">
        <v>76</v>
      </c>
    </row>
    <row r="212" spans="1:21" x14ac:dyDescent="0.3">
      <c r="A212" t="s">
        <v>412</v>
      </c>
      <c r="B212" t="s">
        <v>678</v>
      </c>
      <c r="C212" s="235">
        <v>0</v>
      </c>
      <c r="D212" s="263">
        <v>0</v>
      </c>
      <c r="E212" s="263">
        <v>7.17</v>
      </c>
      <c r="F212" s="235">
        <v>72.989999999999995</v>
      </c>
      <c r="G212" s="235">
        <v>90.98</v>
      </c>
      <c r="H212" s="235">
        <v>162.77000000000001</v>
      </c>
      <c r="I212" s="235">
        <v>167.42</v>
      </c>
      <c r="J212" s="235">
        <v>174.11</v>
      </c>
      <c r="K212" s="235">
        <v>229.11</v>
      </c>
      <c r="L212" s="297">
        <v>234.57</v>
      </c>
      <c r="M212" s="297">
        <v>234.57</v>
      </c>
      <c r="N212" s="297">
        <v>247.05</v>
      </c>
      <c r="T212" t="s">
        <v>965</v>
      </c>
      <c r="U212" s="2" t="s">
        <v>76</v>
      </c>
    </row>
    <row r="213" spans="1:21" x14ac:dyDescent="0.3">
      <c r="A213" t="s">
        <v>413</v>
      </c>
      <c r="B213" t="s">
        <v>679</v>
      </c>
      <c r="C213" s="235">
        <v>406.48</v>
      </c>
      <c r="D213" s="263">
        <v>946.7</v>
      </c>
      <c r="E213" s="263">
        <v>1729.02</v>
      </c>
      <c r="F213" s="235">
        <v>1927.03</v>
      </c>
      <c r="G213" s="235">
        <v>3473.65</v>
      </c>
      <c r="H213" s="235">
        <v>3716.35</v>
      </c>
      <c r="I213" s="235">
        <v>1123.06</v>
      </c>
      <c r="J213" s="235">
        <v>1648.66</v>
      </c>
      <c r="K213" s="235">
        <v>2107.21</v>
      </c>
      <c r="L213" s="297">
        <v>2407.36</v>
      </c>
      <c r="M213" s="297">
        <v>2981.56</v>
      </c>
      <c r="N213" s="297">
        <v>3667.81</v>
      </c>
      <c r="T213" t="s">
        <v>965</v>
      </c>
      <c r="U213" s="2" t="s">
        <v>76</v>
      </c>
    </row>
    <row r="214" spans="1:21" x14ac:dyDescent="0.3">
      <c r="A214" t="s">
        <v>414</v>
      </c>
      <c r="B214" t="s">
        <v>680</v>
      </c>
      <c r="C214" s="235">
        <v>1.3</v>
      </c>
      <c r="D214" s="263">
        <v>1.3</v>
      </c>
      <c r="E214" s="263">
        <v>1.3</v>
      </c>
      <c r="F214" s="235">
        <v>1.3</v>
      </c>
      <c r="G214" s="235">
        <v>1.3</v>
      </c>
      <c r="H214" s="235">
        <v>1.3</v>
      </c>
      <c r="I214" s="235">
        <v>1.3</v>
      </c>
      <c r="J214" s="235">
        <v>1.3</v>
      </c>
      <c r="K214" s="235">
        <v>1.3</v>
      </c>
      <c r="L214" s="297">
        <v>1.3</v>
      </c>
      <c r="M214" s="297">
        <v>1.3</v>
      </c>
      <c r="N214" s="297">
        <v>1.3</v>
      </c>
      <c r="T214" t="s">
        <v>965</v>
      </c>
      <c r="U214" s="2" t="s">
        <v>76</v>
      </c>
    </row>
    <row r="215" spans="1:21" x14ac:dyDescent="0.3">
      <c r="A215" t="s">
        <v>415</v>
      </c>
      <c r="B215" t="s">
        <v>681</v>
      </c>
      <c r="C215" s="235">
        <v>2075.83</v>
      </c>
      <c r="D215" s="263">
        <v>6879.82</v>
      </c>
      <c r="E215" s="263">
        <v>9314.8700000000008</v>
      </c>
      <c r="F215" s="235">
        <v>11872.7</v>
      </c>
      <c r="G215" s="235">
        <v>16783.52</v>
      </c>
      <c r="H215" s="235">
        <v>16290.93</v>
      </c>
      <c r="I215" s="235">
        <v>17756.759999999998</v>
      </c>
      <c r="J215" s="235">
        <v>21547.59</v>
      </c>
      <c r="K215" s="235">
        <v>25522.73</v>
      </c>
      <c r="L215" s="297">
        <v>29080.06</v>
      </c>
      <c r="M215" s="297">
        <v>29747.72</v>
      </c>
      <c r="N215" s="297">
        <v>31681.89</v>
      </c>
      <c r="T215" t="s">
        <v>965</v>
      </c>
      <c r="U215" s="2" t="s">
        <v>76</v>
      </c>
    </row>
    <row r="216" spans="1:21" x14ac:dyDescent="0.3">
      <c r="A216" t="s">
        <v>464</v>
      </c>
      <c r="B216" t="s">
        <v>682</v>
      </c>
      <c r="C216" s="235">
        <v>6562.31</v>
      </c>
      <c r="D216" s="263">
        <v>15380.14</v>
      </c>
      <c r="E216" s="263">
        <v>24955.59</v>
      </c>
      <c r="F216" s="235">
        <v>34531.03</v>
      </c>
      <c r="G216" s="235">
        <v>44270.7</v>
      </c>
      <c r="H216" s="235">
        <v>53690.02</v>
      </c>
      <c r="I216" s="235">
        <v>64365.64</v>
      </c>
      <c r="J216" s="235">
        <v>74622.509999999995</v>
      </c>
      <c r="K216" s="235">
        <v>84247.18</v>
      </c>
      <c r="L216" s="297">
        <v>93331.9</v>
      </c>
      <c r="M216" s="297">
        <v>101831.57</v>
      </c>
      <c r="N216" s="297">
        <v>117033.3</v>
      </c>
      <c r="T216" t="s">
        <v>965</v>
      </c>
      <c r="U216" s="2" t="s">
        <v>76</v>
      </c>
    </row>
    <row r="217" spans="1:21" x14ac:dyDescent="0.3">
      <c r="A217" t="s">
        <v>416</v>
      </c>
      <c r="B217" t="s">
        <v>1016</v>
      </c>
      <c r="C217" s="235">
        <v>33.979999999999997</v>
      </c>
      <c r="D217" s="263">
        <v>44.97</v>
      </c>
      <c r="E217" s="263">
        <v>94.82</v>
      </c>
      <c r="F217" s="235">
        <v>121.77</v>
      </c>
      <c r="G217" s="235">
        <v>326.27999999999997</v>
      </c>
      <c r="H217" s="235">
        <v>463.15</v>
      </c>
      <c r="I217" s="235">
        <v>525.5</v>
      </c>
      <c r="J217" s="235">
        <v>590.13</v>
      </c>
      <c r="K217" s="235">
        <v>692.74</v>
      </c>
      <c r="L217" s="297">
        <v>851.19</v>
      </c>
      <c r="M217" s="297">
        <v>1484.42</v>
      </c>
      <c r="N217" s="297">
        <v>1721.22</v>
      </c>
      <c r="T217" t="s">
        <v>965</v>
      </c>
      <c r="U217" s="2" t="s">
        <v>76</v>
      </c>
    </row>
    <row r="218" spans="1:21" x14ac:dyDescent="0.3">
      <c r="A218" t="s">
        <v>417</v>
      </c>
      <c r="B218" t="s">
        <v>1017</v>
      </c>
      <c r="C218" s="235">
        <v>1381.92</v>
      </c>
      <c r="D218" s="263">
        <v>2659.85</v>
      </c>
      <c r="E218" s="263">
        <v>5188.05</v>
      </c>
      <c r="F218" s="235">
        <v>5364.85</v>
      </c>
      <c r="G218" s="235">
        <v>7661.56</v>
      </c>
      <c r="H218" s="235">
        <v>8554.5400000000009</v>
      </c>
      <c r="I218" s="235">
        <v>11136.67</v>
      </c>
      <c r="J218" s="235">
        <v>11830.15</v>
      </c>
      <c r="K218" s="235">
        <v>12705.49</v>
      </c>
      <c r="L218" s="297">
        <v>13543.04</v>
      </c>
      <c r="M218" s="297">
        <v>15302.97</v>
      </c>
      <c r="N218" s="297">
        <v>15800.07</v>
      </c>
      <c r="T218" t="s">
        <v>965</v>
      </c>
      <c r="U218" s="2" t="s">
        <v>76</v>
      </c>
    </row>
    <row r="219" spans="1:21" x14ac:dyDescent="0.3">
      <c r="A219" t="s">
        <v>418</v>
      </c>
      <c r="B219" t="s">
        <v>683</v>
      </c>
      <c r="C219" s="235">
        <v>5150</v>
      </c>
      <c r="D219" s="263">
        <v>11333.33</v>
      </c>
      <c r="E219" s="263">
        <v>17708.330000000002</v>
      </c>
      <c r="F219" s="235">
        <v>20305.830000000002</v>
      </c>
      <c r="G219" s="235">
        <v>21603.33</v>
      </c>
      <c r="H219" s="235">
        <v>21825.41</v>
      </c>
      <c r="I219" s="235">
        <v>19891.25</v>
      </c>
      <c r="J219" s="235">
        <v>21557.08</v>
      </c>
      <c r="K219" s="235">
        <v>24648.33</v>
      </c>
      <c r="L219" s="297">
        <v>20675.41</v>
      </c>
      <c r="M219" s="297">
        <v>20675.41</v>
      </c>
      <c r="N219" s="297">
        <v>19769.46</v>
      </c>
      <c r="T219" t="s">
        <v>965</v>
      </c>
      <c r="U219" s="2" t="s">
        <v>76</v>
      </c>
    </row>
    <row r="220" spans="1:21" x14ac:dyDescent="0.3">
      <c r="A220" t="s">
        <v>419</v>
      </c>
      <c r="B220" t="s">
        <v>684</v>
      </c>
      <c r="C220" s="235">
        <v>21971.14</v>
      </c>
      <c r="D220" s="263">
        <v>7572.14</v>
      </c>
      <c r="E220" s="263">
        <v>128347.42</v>
      </c>
      <c r="F220" s="235">
        <v>135989.92000000001</v>
      </c>
      <c r="G220" s="235">
        <v>149289.42000000001</v>
      </c>
      <c r="H220" s="235">
        <v>176044.37</v>
      </c>
      <c r="I220" s="235">
        <v>190929.13</v>
      </c>
      <c r="J220" s="235">
        <v>193997.63</v>
      </c>
      <c r="K220" s="235">
        <v>193997.63</v>
      </c>
      <c r="L220" s="297">
        <v>205787.63</v>
      </c>
      <c r="M220" s="297">
        <v>205787.63</v>
      </c>
      <c r="N220" s="297">
        <v>210723.63</v>
      </c>
      <c r="T220" t="s">
        <v>965</v>
      </c>
      <c r="U220" s="2" t="s">
        <v>76</v>
      </c>
    </row>
    <row r="221" spans="1:21" x14ac:dyDescent="0.3">
      <c r="A221" t="s">
        <v>420</v>
      </c>
      <c r="B221" t="s">
        <v>685</v>
      </c>
      <c r="C221" s="235">
        <v>4666.67</v>
      </c>
      <c r="D221" s="263">
        <v>9333.34</v>
      </c>
      <c r="E221" s="263">
        <v>14000.01</v>
      </c>
      <c r="F221" s="235">
        <v>18666.68</v>
      </c>
      <c r="G221" s="235">
        <v>27383.35</v>
      </c>
      <c r="H221" s="235">
        <v>44050.02</v>
      </c>
      <c r="I221" s="235">
        <v>48716.69</v>
      </c>
      <c r="J221" s="235">
        <v>59383.360000000001</v>
      </c>
      <c r="K221" s="235">
        <v>64050.03</v>
      </c>
      <c r="L221" s="297">
        <v>71506.7</v>
      </c>
      <c r="M221" s="297">
        <v>76173.37</v>
      </c>
      <c r="N221" s="297">
        <v>80840.039999999994</v>
      </c>
      <c r="T221" t="s">
        <v>965</v>
      </c>
      <c r="U221" s="2" t="s">
        <v>76</v>
      </c>
    </row>
    <row r="222" spans="1:21" x14ac:dyDescent="0.3">
      <c r="A222" t="s">
        <v>421</v>
      </c>
      <c r="B222" t="s">
        <v>686</v>
      </c>
      <c r="C222" s="235">
        <v>6384.77</v>
      </c>
      <c r="D222" s="263">
        <v>33384.769999999997</v>
      </c>
      <c r="E222" s="263">
        <v>34175.46</v>
      </c>
      <c r="F222" s="235">
        <v>35426.94</v>
      </c>
      <c r="G222" s="235">
        <v>36728.019999999997</v>
      </c>
      <c r="H222" s="235">
        <v>42714.59</v>
      </c>
      <c r="I222" s="235">
        <v>42714.59</v>
      </c>
      <c r="J222" s="235">
        <v>42714.59</v>
      </c>
      <c r="K222" s="235">
        <v>54325.74</v>
      </c>
      <c r="L222" s="297">
        <v>61530.2</v>
      </c>
      <c r="M222" s="297">
        <v>75430.2</v>
      </c>
      <c r="N222" s="297">
        <v>107070.54</v>
      </c>
      <c r="T222" t="s">
        <v>965</v>
      </c>
      <c r="U222" s="2" t="s">
        <v>76</v>
      </c>
    </row>
    <row r="223" spans="1:21" x14ac:dyDescent="0.3">
      <c r="A223" t="s">
        <v>422</v>
      </c>
      <c r="B223" t="s">
        <v>687</v>
      </c>
      <c r="C223" s="235">
        <v>6666.58</v>
      </c>
      <c r="D223" s="263">
        <v>14867.14</v>
      </c>
      <c r="E223" s="263">
        <v>22912.44</v>
      </c>
      <c r="F223" s="235">
        <v>31208.61</v>
      </c>
      <c r="G223" s="235">
        <v>41097.82</v>
      </c>
      <c r="H223" s="235">
        <v>45709.58</v>
      </c>
      <c r="I223" s="235">
        <v>51677.17</v>
      </c>
      <c r="J223" s="235">
        <v>61383.12</v>
      </c>
      <c r="K223" s="235">
        <v>101184.85</v>
      </c>
      <c r="L223" s="297">
        <v>108677.92</v>
      </c>
      <c r="M223" s="297">
        <v>116252.83</v>
      </c>
      <c r="N223" s="297">
        <v>125027.8</v>
      </c>
      <c r="T223" t="s">
        <v>965</v>
      </c>
      <c r="U223" s="2" t="s">
        <v>76</v>
      </c>
    </row>
    <row r="224" spans="1:21" x14ac:dyDescent="0.3">
      <c r="A224" t="s">
        <v>782</v>
      </c>
      <c r="B224" t="s">
        <v>783</v>
      </c>
      <c r="C224" s="235">
        <v>0</v>
      </c>
      <c r="D224" s="263">
        <v>0</v>
      </c>
      <c r="E224" s="263"/>
      <c r="F224" s="235">
        <v>0</v>
      </c>
      <c r="G224" s="235">
        <v>0</v>
      </c>
      <c r="H224" s="235">
        <v>332</v>
      </c>
      <c r="I224" s="235">
        <v>332</v>
      </c>
      <c r="J224" s="235">
        <v>332</v>
      </c>
      <c r="K224" s="235">
        <v>332</v>
      </c>
      <c r="L224" s="297">
        <v>8494.06</v>
      </c>
      <c r="M224" s="297">
        <v>10628.76</v>
      </c>
      <c r="N224" s="297">
        <v>11767.68</v>
      </c>
      <c r="T224" t="s">
        <v>965</v>
      </c>
      <c r="U224" s="2" t="s">
        <v>76</v>
      </c>
    </row>
    <row r="225" spans="1:21" x14ac:dyDescent="0.3">
      <c r="A225" t="s">
        <v>494</v>
      </c>
      <c r="B225" t="s">
        <v>688</v>
      </c>
      <c r="C225" s="235">
        <v>0</v>
      </c>
      <c r="D225" s="263">
        <v>0</v>
      </c>
      <c r="E225" s="263"/>
      <c r="F225" s="235">
        <v>0</v>
      </c>
      <c r="G225" s="235">
        <v>0</v>
      </c>
      <c r="H225" s="235">
        <v>0</v>
      </c>
      <c r="I225" s="235">
        <v>0</v>
      </c>
      <c r="J225" s="235">
        <v>0</v>
      </c>
      <c r="K225" s="235">
        <v>0</v>
      </c>
      <c r="L225" s="297">
        <v>0</v>
      </c>
      <c r="M225" s="297">
        <v>0</v>
      </c>
      <c r="N225" s="297">
        <v>0</v>
      </c>
      <c r="T225" t="s">
        <v>965</v>
      </c>
      <c r="U225" s="2" t="s">
        <v>76</v>
      </c>
    </row>
    <row r="226" spans="1:21" x14ac:dyDescent="0.3">
      <c r="A226" t="s">
        <v>423</v>
      </c>
      <c r="B226" t="s">
        <v>689</v>
      </c>
      <c r="C226" s="235">
        <v>0</v>
      </c>
      <c r="D226" s="263">
        <v>0</v>
      </c>
      <c r="E226" s="263">
        <v>0</v>
      </c>
      <c r="F226" s="235">
        <v>0</v>
      </c>
      <c r="G226" s="235">
        <v>0</v>
      </c>
      <c r="H226" s="235">
        <v>0</v>
      </c>
      <c r="I226" s="235">
        <v>0</v>
      </c>
      <c r="J226" s="235">
        <v>0</v>
      </c>
      <c r="K226" s="235">
        <v>0</v>
      </c>
      <c r="L226" s="297">
        <v>0</v>
      </c>
      <c r="M226" s="297">
        <v>0</v>
      </c>
      <c r="N226" s="297">
        <v>0</v>
      </c>
      <c r="T226" t="s">
        <v>965</v>
      </c>
      <c r="U226" s="2" t="s">
        <v>76</v>
      </c>
    </row>
    <row r="227" spans="1:21" x14ac:dyDescent="0.3">
      <c r="A227" t="s">
        <v>424</v>
      </c>
      <c r="B227" t="s">
        <v>690</v>
      </c>
      <c r="C227" s="235">
        <v>24</v>
      </c>
      <c r="D227" s="263">
        <v>3745.92</v>
      </c>
      <c r="E227" s="263">
        <v>4072.69</v>
      </c>
      <c r="F227" s="235">
        <v>4072.69</v>
      </c>
      <c r="G227" s="235">
        <v>4191.8599999999997</v>
      </c>
      <c r="H227" s="235">
        <v>4422.1400000000003</v>
      </c>
      <c r="I227" s="235">
        <v>4522.72</v>
      </c>
      <c r="J227" s="235">
        <v>4853.58</v>
      </c>
      <c r="K227" s="235">
        <v>5293.28</v>
      </c>
      <c r="L227" s="297">
        <v>11593.28</v>
      </c>
      <c r="M227" s="297">
        <v>17093.28</v>
      </c>
      <c r="N227" s="297">
        <v>17093.28</v>
      </c>
      <c r="T227" t="s">
        <v>965</v>
      </c>
      <c r="U227" s="2" t="s">
        <v>76</v>
      </c>
    </row>
    <row r="228" spans="1:21" x14ac:dyDescent="0.3">
      <c r="A228" t="s">
        <v>425</v>
      </c>
      <c r="B228" t="s">
        <v>691</v>
      </c>
      <c r="C228" s="235">
        <v>4806.67</v>
      </c>
      <c r="D228" s="263">
        <v>11955.72</v>
      </c>
      <c r="E228" s="263">
        <v>18055.599999999999</v>
      </c>
      <c r="F228" s="235">
        <v>23173.56</v>
      </c>
      <c r="G228" s="235">
        <v>25039.15</v>
      </c>
      <c r="H228" s="235">
        <v>27499.56</v>
      </c>
      <c r="I228" s="235">
        <v>33159.279999999999</v>
      </c>
      <c r="J228" s="235">
        <v>35269.269999999997</v>
      </c>
      <c r="K228" s="235">
        <v>37263.89</v>
      </c>
      <c r="L228" s="297">
        <v>39100.86</v>
      </c>
      <c r="M228" s="297">
        <v>41243.199999999997</v>
      </c>
      <c r="N228" s="297">
        <v>43180.89</v>
      </c>
      <c r="T228" t="s">
        <v>965</v>
      </c>
      <c r="U228" s="2" t="s">
        <v>76</v>
      </c>
    </row>
    <row r="229" spans="1:21" x14ac:dyDescent="0.3">
      <c r="A229" t="s">
        <v>426</v>
      </c>
      <c r="B229" t="s">
        <v>692</v>
      </c>
      <c r="C229" s="235">
        <v>0</v>
      </c>
      <c r="D229" s="263">
        <v>202.8</v>
      </c>
      <c r="E229" s="263">
        <v>202.8</v>
      </c>
      <c r="F229" s="235">
        <v>202.8</v>
      </c>
      <c r="G229" s="235">
        <v>202.8</v>
      </c>
      <c r="H229" s="235">
        <v>202.8</v>
      </c>
      <c r="I229" s="235">
        <v>202.8</v>
      </c>
      <c r="J229" s="235">
        <v>202.8</v>
      </c>
      <c r="K229" s="235">
        <v>202.8</v>
      </c>
      <c r="L229" s="297">
        <v>632.71</v>
      </c>
      <c r="M229" s="297">
        <v>5547.71</v>
      </c>
      <c r="N229" s="297">
        <v>-7903.62</v>
      </c>
      <c r="T229" t="s">
        <v>965</v>
      </c>
      <c r="U229" s="2" t="s">
        <v>76</v>
      </c>
    </row>
    <row r="230" spans="1:21" x14ac:dyDescent="0.3">
      <c r="A230" t="s">
        <v>427</v>
      </c>
      <c r="B230" t="s">
        <v>693</v>
      </c>
      <c r="C230" s="235">
        <v>125</v>
      </c>
      <c r="D230" s="263">
        <v>375.57</v>
      </c>
      <c r="E230" s="263">
        <v>501.52</v>
      </c>
      <c r="F230" s="235">
        <v>626.79999999999995</v>
      </c>
      <c r="G230" s="235">
        <v>650.53</v>
      </c>
      <c r="H230" s="235">
        <v>4056.77</v>
      </c>
      <c r="I230" s="235">
        <v>900.97</v>
      </c>
      <c r="J230" s="235">
        <v>1026.07</v>
      </c>
      <c r="K230" s="235">
        <v>1151.46</v>
      </c>
      <c r="L230" s="297">
        <v>1276.48</v>
      </c>
      <c r="M230" s="297">
        <v>1401.48</v>
      </c>
      <c r="N230" s="297">
        <v>1526.51</v>
      </c>
      <c r="T230" t="s">
        <v>965</v>
      </c>
      <c r="U230" s="2" t="s">
        <v>76</v>
      </c>
    </row>
    <row r="231" spans="1:21" x14ac:dyDescent="0.3">
      <c r="A231" t="s">
        <v>428</v>
      </c>
      <c r="B231" t="s">
        <v>694</v>
      </c>
      <c r="C231" s="235">
        <v>1091.8599999999999</v>
      </c>
      <c r="D231" s="263">
        <v>2286.69</v>
      </c>
      <c r="E231" s="263">
        <v>354.22</v>
      </c>
      <c r="F231" s="235">
        <v>1310.18</v>
      </c>
      <c r="G231" s="235">
        <v>1620.29</v>
      </c>
      <c r="H231" s="235">
        <v>2047.06</v>
      </c>
      <c r="I231" s="235">
        <v>2925.13</v>
      </c>
      <c r="J231" s="235">
        <v>4060.27</v>
      </c>
      <c r="K231" s="235">
        <v>5034.53</v>
      </c>
      <c r="L231" s="297">
        <v>6392.48</v>
      </c>
      <c r="M231" s="297">
        <v>7313.25</v>
      </c>
      <c r="N231" s="297">
        <v>7648.05</v>
      </c>
      <c r="T231" t="s">
        <v>965</v>
      </c>
      <c r="U231" s="2" t="s">
        <v>76</v>
      </c>
    </row>
    <row r="232" spans="1:21" x14ac:dyDescent="0.3">
      <c r="A232" t="s">
        <v>429</v>
      </c>
      <c r="B232" t="s">
        <v>695</v>
      </c>
      <c r="C232" s="235">
        <v>0</v>
      </c>
      <c r="D232" s="263">
        <v>0</v>
      </c>
      <c r="E232" s="263">
        <v>0</v>
      </c>
      <c r="F232" s="235">
        <v>0</v>
      </c>
      <c r="G232" s="235">
        <v>0</v>
      </c>
      <c r="H232" s="235">
        <v>696.8</v>
      </c>
      <c r="I232" s="235">
        <v>696.8</v>
      </c>
      <c r="J232" s="235">
        <v>696.8</v>
      </c>
      <c r="K232" s="235">
        <v>696.8</v>
      </c>
      <c r="L232" s="297">
        <v>696.8</v>
      </c>
      <c r="M232" s="297">
        <v>696.8</v>
      </c>
      <c r="N232" s="297">
        <v>1399.15</v>
      </c>
      <c r="T232" t="s">
        <v>965</v>
      </c>
      <c r="U232" s="2" t="s">
        <v>76</v>
      </c>
    </row>
    <row r="233" spans="1:21" x14ac:dyDescent="0.3">
      <c r="A233" t="s">
        <v>430</v>
      </c>
      <c r="B233" t="s">
        <v>696</v>
      </c>
      <c r="C233" s="235">
        <v>0</v>
      </c>
      <c r="D233" s="263">
        <v>997.6</v>
      </c>
      <c r="E233" s="263">
        <v>997.6</v>
      </c>
      <c r="F233" s="235">
        <v>997.6</v>
      </c>
      <c r="G233" s="235">
        <v>997.6</v>
      </c>
      <c r="H233" s="235">
        <v>997.6</v>
      </c>
      <c r="I233" s="235">
        <v>997.6</v>
      </c>
      <c r="J233" s="235">
        <v>997.6</v>
      </c>
      <c r="K233" s="235">
        <v>997.6</v>
      </c>
      <c r="L233" s="297">
        <v>997.6</v>
      </c>
      <c r="M233" s="297">
        <v>997.6</v>
      </c>
      <c r="N233" s="297">
        <v>997.6</v>
      </c>
      <c r="T233" t="s">
        <v>965</v>
      </c>
      <c r="U233" s="2" t="s">
        <v>76</v>
      </c>
    </row>
    <row r="234" spans="1:21" x14ac:dyDescent="0.3">
      <c r="A234" t="s">
        <v>431</v>
      </c>
      <c r="B234" t="s">
        <v>697</v>
      </c>
      <c r="C234" s="235">
        <v>185</v>
      </c>
      <c r="D234" s="263">
        <v>1440.87</v>
      </c>
      <c r="E234" s="263">
        <v>4379.22</v>
      </c>
      <c r="F234" s="235">
        <v>4425.88</v>
      </c>
      <c r="G234" s="235">
        <v>7761.96</v>
      </c>
      <c r="H234" s="235">
        <v>8214.99</v>
      </c>
      <c r="I234" s="235">
        <v>8655.36</v>
      </c>
      <c r="J234" s="235">
        <v>9306.31</v>
      </c>
      <c r="K234" s="235">
        <v>9377.7199999999993</v>
      </c>
      <c r="L234" s="297">
        <v>9627.23</v>
      </c>
      <c r="M234" s="297">
        <v>9634.69</v>
      </c>
      <c r="N234" s="297">
        <v>9920.59</v>
      </c>
      <c r="T234" t="s">
        <v>965</v>
      </c>
      <c r="U234" s="2" t="s">
        <v>76</v>
      </c>
    </row>
    <row r="235" spans="1:21" x14ac:dyDescent="0.3">
      <c r="A235" t="s">
        <v>432</v>
      </c>
      <c r="B235" t="s">
        <v>698</v>
      </c>
      <c r="C235" s="235">
        <v>12000.72</v>
      </c>
      <c r="D235" s="263">
        <v>24388.560000000001</v>
      </c>
      <c r="E235" s="263">
        <v>35615.040000000001</v>
      </c>
      <c r="F235" s="235">
        <v>48519.040000000001</v>
      </c>
      <c r="G235" s="235">
        <v>63469.760000000002</v>
      </c>
      <c r="H235" s="235">
        <v>76286.559999999998</v>
      </c>
      <c r="I235" s="235">
        <v>89130.559999999998</v>
      </c>
      <c r="J235" s="235">
        <v>103069.75999999999</v>
      </c>
      <c r="K235" s="235">
        <v>115741.75999999999</v>
      </c>
      <c r="L235" s="297">
        <v>128624.96000000001</v>
      </c>
      <c r="M235" s="297">
        <v>141314.56</v>
      </c>
      <c r="N235" s="297">
        <v>156777.76</v>
      </c>
      <c r="T235" t="s">
        <v>965</v>
      </c>
      <c r="U235" s="2" t="s">
        <v>76</v>
      </c>
    </row>
    <row r="236" spans="1:21" x14ac:dyDescent="0.3">
      <c r="A236" t="s">
        <v>496</v>
      </c>
      <c r="B236" t="s">
        <v>172</v>
      </c>
      <c r="C236" s="235">
        <v>234.2</v>
      </c>
      <c r="D236" s="263">
        <v>510.6</v>
      </c>
      <c r="E236" s="263">
        <v>1313.26</v>
      </c>
      <c r="F236" s="235">
        <v>1888.45</v>
      </c>
      <c r="G236" s="235">
        <v>2473.84</v>
      </c>
      <c r="H236" s="235">
        <v>3343.32</v>
      </c>
      <c r="I236" s="235">
        <v>3913.46</v>
      </c>
      <c r="J236" s="235">
        <v>4328.58</v>
      </c>
      <c r="K236" s="235">
        <v>4938.3100000000004</v>
      </c>
      <c r="L236" s="297">
        <v>5588.9</v>
      </c>
      <c r="M236" s="297">
        <v>12115.04</v>
      </c>
      <c r="N236" s="297">
        <v>21057.73</v>
      </c>
      <c r="T236" t="s">
        <v>965</v>
      </c>
      <c r="U236" s="2" t="s">
        <v>76</v>
      </c>
    </row>
    <row r="237" spans="1:21" x14ac:dyDescent="0.3">
      <c r="A237" t="s">
        <v>433</v>
      </c>
      <c r="B237" t="s">
        <v>699</v>
      </c>
      <c r="C237" s="235">
        <v>390.78</v>
      </c>
      <c r="D237" s="263">
        <v>690.43</v>
      </c>
      <c r="E237" s="263">
        <v>3284.25</v>
      </c>
      <c r="F237" s="235">
        <v>5106.49</v>
      </c>
      <c r="G237" s="235">
        <v>5717.81</v>
      </c>
      <c r="H237" s="235">
        <v>7216.79</v>
      </c>
      <c r="I237" s="235">
        <v>8256.77</v>
      </c>
      <c r="J237" s="235">
        <v>11058.42</v>
      </c>
      <c r="K237" s="235">
        <v>13815.59</v>
      </c>
      <c r="L237" s="297">
        <v>15360.07</v>
      </c>
      <c r="M237" s="297">
        <v>16387.79</v>
      </c>
      <c r="N237" s="297">
        <v>17521.689999999999</v>
      </c>
      <c r="T237" t="s">
        <v>965</v>
      </c>
      <c r="U237" s="2" t="s">
        <v>76</v>
      </c>
    </row>
    <row r="238" spans="1:21" x14ac:dyDescent="0.3">
      <c r="A238" t="s">
        <v>736</v>
      </c>
      <c r="B238" t="s">
        <v>737</v>
      </c>
      <c r="C238" s="235">
        <v>105</v>
      </c>
      <c r="D238" s="263">
        <v>110.49</v>
      </c>
      <c r="E238" s="263">
        <v>159.62</v>
      </c>
      <c r="F238" s="235">
        <v>980.99</v>
      </c>
      <c r="G238" s="235">
        <v>980.99</v>
      </c>
      <c r="H238" s="235">
        <v>981.6</v>
      </c>
      <c r="I238" s="235">
        <v>1008.61</v>
      </c>
      <c r="J238" s="235">
        <v>1126.92</v>
      </c>
      <c r="K238" s="235">
        <v>1141.92</v>
      </c>
      <c r="L238" s="297">
        <v>1156.77</v>
      </c>
      <c r="M238" s="297">
        <v>1156.77</v>
      </c>
      <c r="N238" s="297">
        <v>1157.48</v>
      </c>
      <c r="T238" t="s">
        <v>965</v>
      </c>
      <c r="U238" s="2" t="s">
        <v>76</v>
      </c>
    </row>
    <row r="239" spans="1:21" x14ac:dyDescent="0.3">
      <c r="A239" t="s">
        <v>434</v>
      </c>
      <c r="B239" t="s">
        <v>700</v>
      </c>
      <c r="C239" s="235">
        <v>6322.15</v>
      </c>
      <c r="D239" s="263">
        <v>15331.38</v>
      </c>
      <c r="E239" s="263">
        <v>24827.02</v>
      </c>
      <c r="F239" s="235">
        <v>31582.32</v>
      </c>
      <c r="G239" s="235">
        <v>36187.33</v>
      </c>
      <c r="H239" s="235">
        <v>48511.85</v>
      </c>
      <c r="I239" s="235">
        <v>56897.02</v>
      </c>
      <c r="J239" s="235">
        <v>59546.9</v>
      </c>
      <c r="K239" s="235">
        <v>70600.67</v>
      </c>
      <c r="L239" s="297">
        <v>83590.86</v>
      </c>
      <c r="M239" s="297">
        <v>84602.09</v>
      </c>
      <c r="N239" s="297">
        <v>93830.21</v>
      </c>
      <c r="T239" t="s">
        <v>965</v>
      </c>
      <c r="U239" s="2" t="s">
        <v>76</v>
      </c>
    </row>
    <row r="240" spans="1:21" x14ac:dyDescent="0.3">
      <c r="A240" t="s">
        <v>1002</v>
      </c>
      <c r="B240" t="s">
        <v>1018</v>
      </c>
      <c r="C240" s="235">
        <v>0</v>
      </c>
      <c r="D240" s="263">
        <v>0</v>
      </c>
      <c r="E240" s="263">
        <v>0</v>
      </c>
      <c r="F240" s="235">
        <v>0</v>
      </c>
      <c r="G240" s="235">
        <v>0</v>
      </c>
      <c r="H240" s="235">
        <v>0</v>
      </c>
      <c r="I240" s="235">
        <v>0</v>
      </c>
      <c r="J240" s="235">
        <v>0</v>
      </c>
      <c r="K240" s="235">
        <v>0</v>
      </c>
      <c r="L240" s="297">
        <v>0</v>
      </c>
      <c r="M240" s="297">
        <v>0</v>
      </c>
      <c r="N240" s="297">
        <v>0</v>
      </c>
      <c r="T240" t="s">
        <v>965</v>
      </c>
      <c r="U240" s="2" t="s">
        <v>76</v>
      </c>
    </row>
    <row r="241" spans="1:21" x14ac:dyDescent="0.3">
      <c r="A241" t="s">
        <v>435</v>
      </c>
      <c r="B241" t="s">
        <v>701</v>
      </c>
      <c r="C241" s="235">
        <v>9170.07</v>
      </c>
      <c r="D241" s="263">
        <v>19070.310000000001</v>
      </c>
      <c r="E241" s="263">
        <v>19518.310000000001</v>
      </c>
      <c r="F241" s="235">
        <v>30821.38</v>
      </c>
      <c r="G241" s="235">
        <v>39355.379999999997</v>
      </c>
      <c r="H241" s="235">
        <v>43733.18</v>
      </c>
      <c r="I241" s="235">
        <v>75440.17</v>
      </c>
      <c r="J241" s="235">
        <v>86834.5</v>
      </c>
      <c r="K241" s="235">
        <v>98180.5</v>
      </c>
      <c r="L241" s="297">
        <v>113766.25</v>
      </c>
      <c r="M241" s="297">
        <v>122628.25</v>
      </c>
      <c r="N241" s="297">
        <v>123791.23</v>
      </c>
      <c r="T241" t="s">
        <v>965</v>
      </c>
      <c r="U241" s="2" t="s">
        <v>76</v>
      </c>
    </row>
    <row r="242" spans="1:21" x14ac:dyDescent="0.3">
      <c r="A242" t="s">
        <v>436</v>
      </c>
      <c r="B242" t="s">
        <v>702</v>
      </c>
      <c r="C242" s="235">
        <v>91.31</v>
      </c>
      <c r="D242" s="263">
        <v>-1323.35</v>
      </c>
      <c r="E242" s="263">
        <v>1415.58</v>
      </c>
      <c r="F242" s="235">
        <v>2041.28</v>
      </c>
      <c r="G242" s="235">
        <v>2666.98</v>
      </c>
      <c r="H242" s="235">
        <v>2666.98</v>
      </c>
      <c r="I242" s="235">
        <v>2666.98</v>
      </c>
      <c r="J242" s="235">
        <v>2666.98</v>
      </c>
      <c r="K242" s="235">
        <v>2666.98</v>
      </c>
      <c r="L242" s="297">
        <v>2666.98</v>
      </c>
      <c r="M242" s="297">
        <v>2666.98</v>
      </c>
      <c r="N242" s="297">
        <v>2666.98</v>
      </c>
      <c r="T242" t="s">
        <v>965</v>
      </c>
      <c r="U242" s="2" t="s">
        <v>76</v>
      </c>
    </row>
    <row r="243" spans="1:21" x14ac:dyDescent="0.3">
      <c r="A243" t="s">
        <v>437</v>
      </c>
      <c r="B243" t="s">
        <v>703</v>
      </c>
      <c r="C243" s="235">
        <v>5667.26</v>
      </c>
      <c r="D243" s="263">
        <v>8785.36</v>
      </c>
      <c r="E243" s="263">
        <v>11316</v>
      </c>
      <c r="F243" s="235">
        <v>13570</v>
      </c>
      <c r="G243" s="235">
        <v>25850</v>
      </c>
      <c r="H243" s="235">
        <v>30260</v>
      </c>
      <c r="I243" s="235">
        <v>32416</v>
      </c>
      <c r="J243" s="235">
        <v>38530.519999999997</v>
      </c>
      <c r="K243" s="235">
        <v>40634.14</v>
      </c>
      <c r="L243" s="297">
        <v>50511.76</v>
      </c>
      <c r="M243" s="297">
        <v>50557.38</v>
      </c>
      <c r="N243" s="297">
        <v>52759</v>
      </c>
      <c r="T243" t="s">
        <v>965</v>
      </c>
      <c r="U243" s="2" t="s">
        <v>76</v>
      </c>
    </row>
    <row r="244" spans="1:21" x14ac:dyDescent="0.3">
      <c r="A244" t="s">
        <v>704</v>
      </c>
      <c r="B244" t="s">
        <v>705</v>
      </c>
      <c r="C244" s="235">
        <v>200.01</v>
      </c>
      <c r="D244" s="263">
        <v>407.2</v>
      </c>
      <c r="E244" s="263">
        <v>940.56</v>
      </c>
      <c r="F244" s="235">
        <v>940.56</v>
      </c>
      <c r="G244" s="235">
        <v>1781.55</v>
      </c>
      <c r="H244" s="235">
        <v>1988.74</v>
      </c>
      <c r="I244" s="235">
        <v>7588.77</v>
      </c>
      <c r="J244" s="235">
        <v>3395.99</v>
      </c>
      <c r="K244" s="235">
        <v>3395.99</v>
      </c>
      <c r="L244" s="297">
        <v>3662.67</v>
      </c>
      <c r="M244" s="297">
        <v>4262.7</v>
      </c>
      <c r="N244" s="297">
        <v>4262.7</v>
      </c>
      <c r="T244" t="s">
        <v>965</v>
      </c>
      <c r="U244" s="2" t="s">
        <v>76</v>
      </c>
    </row>
    <row r="245" spans="1:21" x14ac:dyDescent="0.3">
      <c r="A245" s="83" t="s">
        <v>438</v>
      </c>
      <c r="B245" t="s">
        <v>706</v>
      </c>
      <c r="C245" s="235">
        <v>433433.29</v>
      </c>
      <c r="D245" s="263">
        <v>900227.04</v>
      </c>
      <c r="E245" s="263">
        <v>1412994.85</v>
      </c>
      <c r="F245" s="235">
        <v>1862070.2</v>
      </c>
      <c r="G245" s="235">
        <v>2335763.0499999998</v>
      </c>
      <c r="H245" s="235">
        <v>2791557.85</v>
      </c>
      <c r="I245" s="235">
        <v>3218556.64</v>
      </c>
      <c r="J245" s="235">
        <v>3655597.2</v>
      </c>
      <c r="K245" s="235">
        <v>4073246.7200000002</v>
      </c>
      <c r="L245" s="297">
        <v>4463923.5199999996</v>
      </c>
      <c r="M245" s="297">
        <v>4912638.55</v>
      </c>
      <c r="N245" s="297">
        <v>5329447.71</v>
      </c>
      <c r="T245" t="s">
        <v>965</v>
      </c>
      <c r="U245" s="2" t="s">
        <v>76</v>
      </c>
    </row>
    <row r="246" spans="1:21" x14ac:dyDescent="0.3">
      <c r="A246" t="s">
        <v>1035</v>
      </c>
      <c r="B246" t="s">
        <v>1036</v>
      </c>
      <c r="D246" s="263"/>
      <c r="E246" s="263"/>
      <c r="F246" s="235">
        <v>0</v>
      </c>
      <c r="G246" s="235">
        <v>0</v>
      </c>
      <c r="H246" s="235">
        <v>0</v>
      </c>
      <c r="I246" s="235">
        <v>22843.61</v>
      </c>
      <c r="J246" s="235">
        <v>65380.63</v>
      </c>
      <c r="K246" s="235">
        <v>81208.5</v>
      </c>
      <c r="L246" s="297">
        <v>90826.03</v>
      </c>
      <c r="M246" s="297">
        <v>104876.63</v>
      </c>
      <c r="N246" s="297">
        <v>116094.41</v>
      </c>
      <c r="T246"/>
      <c r="U246" s="2"/>
    </row>
    <row r="247" spans="1:21" x14ac:dyDescent="0.3">
      <c r="A247" t="s">
        <v>1003</v>
      </c>
      <c r="B247" t="s">
        <v>1019</v>
      </c>
      <c r="C247" s="235">
        <v>0</v>
      </c>
      <c r="D247" s="263">
        <v>0</v>
      </c>
      <c r="E247" s="263">
        <v>0</v>
      </c>
      <c r="F247" s="235">
        <v>0</v>
      </c>
      <c r="G247" s="235">
        <v>0</v>
      </c>
      <c r="H247" s="235">
        <v>0</v>
      </c>
      <c r="I247" s="235">
        <v>0</v>
      </c>
      <c r="J247" s="235">
        <v>0</v>
      </c>
      <c r="K247" s="235">
        <v>0</v>
      </c>
      <c r="L247" s="297">
        <v>0</v>
      </c>
      <c r="M247" s="297">
        <v>0</v>
      </c>
      <c r="N247" s="297">
        <v>0</v>
      </c>
      <c r="T247" t="s">
        <v>965</v>
      </c>
      <c r="U247" s="2" t="s">
        <v>76</v>
      </c>
    </row>
    <row r="248" spans="1:21" x14ac:dyDescent="0.3">
      <c r="A248" t="s">
        <v>498</v>
      </c>
      <c r="B248" t="s">
        <v>707</v>
      </c>
      <c r="C248" s="235">
        <v>59217.19</v>
      </c>
      <c r="D248" s="263">
        <v>118434.38</v>
      </c>
      <c r="E248" s="263">
        <v>177651.57</v>
      </c>
      <c r="F248" s="235">
        <v>-88036.24</v>
      </c>
      <c r="G248" s="235">
        <v>-28656.400000000001</v>
      </c>
      <c r="H248" s="235">
        <v>30723.439999999999</v>
      </c>
      <c r="I248" s="235">
        <v>92795.48</v>
      </c>
      <c r="J248" s="235">
        <v>154867.51999999999</v>
      </c>
      <c r="K248" s="235">
        <v>217539.87</v>
      </c>
      <c r="L248" s="297">
        <v>-37511.78</v>
      </c>
      <c r="M248" s="297">
        <v>25160.57</v>
      </c>
      <c r="N248" s="297">
        <v>-79735.58</v>
      </c>
      <c r="T248" t="s">
        <v>965</v>
      </c>
      <c r="U248" s="2" t="s">
        <v>76</v>
      </c>
    </row>
    <row r="249" spans="1:21" x14ac:dyDescent="0.3">
      <c r="A249" s="299" t="s">
        <v>1037</v>
      </c>
      <c r="B249" s="299" t="s">
        <v>1038</v>
      </c>
      <c r="C249" s="300"/>
      <c r="D249" s="301"/>
      <c r="E249" s="301"/>
      <c r="F249" s="300">
        <v>186862</v>
      </c>
      <c r="G249" s="300">
        <v>186862</v>
      </c>
      <c r="H249" s="300">
        <v>186862</v>
      </c>
      <c r="I249" s="300">
        <v>186862</v>
      </c>
      <c r="J249" s="300">
        <v>186862</v>
      </c>
      <c r="K249" s="300">
        <v>186862</v>
      </c>
      <c r="L249" s="306">
        <v>352646.32</v>
      </c>
      <c r="M249" s="306">
        <v>352646.32</v>
      </c>
      <c r="N249" s="306">
        <v>500231.1</v>
      </c>
      <c r="T249"/>
      <c r="U249" s="2"/>
    </row>
    <row r="250" spans="1:21" x14ac:dyDescent="0.3">
      <c r="A250" t="s">
        <v>708</v>
      </c>
      <c r="B250" t="s">
        <v>709</v>
      </c>
      <c r="C250" s="235">
        <v>0</v>
      </c>
      <c r="D250" s="263">
        <v>0</v>
      </c>
      <c r="E250" s="263">
        <v>0</v>
      </c>
      <c r="F250" s="235">
        <v>0</v>
      </c>
      <c r="G250" s="235">
        <v>0</v>
      </c>
      <c r="H250" s="235">
        <v>0</v>
      </c>
      <c r="I250" s="235">
        <v>0</v>
      </c>
      <c r="J250" s="235">
        <v>0</v>
      </c>
      <c r="K250" s="235">
        <v>0</v>
      </c>
      <c r="L250" s="297">
        <v>0</v>
      </c>
      <c r="M250" s="297">
        <v>0</v>
      </c>
      <c r="N250" s="297">
        <v>0</v>
      </c>
      <c r="T250" t="s">
        <v>965</v>
      </c>
      <c r="U250" s="2" t="s">
        <v>76</v>
      </c>
    </row>
    <row r="251" spans="1:21" x14ac:dyDescent="0.3">
      <c r="A251" t="s">
        <v>439</v>
      </c>
      <c r="B251" t="s">
        <v>710</v>
      </c>
      <c r="C251" s="235">
        <v>45846.77</v>
      </c>
      <c r="D251" s="263">
        <v>94978.35</v>
      </c>
      <c r="E251" s="263">
        <v>149945.57999999999</v>
      </c>
      <c r="F251" s="235">
        <v>200322.47</v>
      </c>
      <c r="G251" s="235">
        <v>252881.06</v>
      </c>
      <c r="H251" s="235">
        <v>302099.17</v>
      </c>
      <c r="I251" s="235">
        <v>355872.45</v>
      </c>
      <c r="J251" s="235">
        <v>408914.35</v>
      </c>
      <c r="K251" s="235">
        <v>454569.87</v>
      </c>
      <c r="L251" s="297">
        <v>499061.88</v>
      </c>
      <c r="M251" s="297">
        <v>546876.38</v>
      </c>
      <c r="N251" s="297">
        <v>591385.17000000004</v>
      </c>
      <c r="T251" t="s">
        <v>965</v>
      </c>
      <c r="U251" s="2" t="s">
        <v>76</v>
      </c>
    </row>
    <row r="252" spans="1:21" x14ac:dyDescent="0.3">
      <c r="A252" t="s">
        <v>500</v>
      </c>
      <c r="B252" t="s">
        <v>711</v>
      </c>
      <c r="C252" s="235">
        <v>15513.41</v>
      </c>
      <c r="D252" s="263">
        <v>31490.15</v>
      </c>
      <c r="E252" s="263">
        <v>49137.66</v>
      </c>
      <c r="F252" s="235">
        <v>74226.64</v>
      </c>
      <c r="G252" s="235">
        <v>91232.15</v>
      </c>
      <c r="H252" s="235">
        <v>107467.31</v>
      </c>
      <c r="I252" s="235">
        <v>122912.18</v>
      </c>
      <c r="J252" s="235">
        <v>139657.78</v>
      </c>
      <c r="K252" s="235">
        <v>154899.85</v>
      </c>
      <c r="L252" s="297">
        <v>177838.07999999999</v>
      </c>
      <c r="M252" s="297">
        <v>194508.65</v>
      </c>
      <c r="N252" s="297">
        <v>214962.43</v>
      </c>
      <c r="T252" t="s">
        <v>965</v>
      </c>
      <c r="U252" s="2" t="s">
        <v>76</v>
      </c>
    </row>
    <row r="253" spans="1:21" x14ac:dyDescent="0.3">
      <c r="A253" t="s">
        <v>440</v>
      </c>
      <c r="B253" t="s">
        <v>712</v>
      </c>
      <c r="C253" s="235">
        <v>159.06</v>
      </c>
      <c r="D253" s="263">
        <v>318.12</v>
      </c>
      <c r="E253" s="263">
        <v>477.18</v>
      </c>
      <c r="F253" s="235">
        <v>636.24</v>
      </c>
      <c r="G253" s="235">
        <v>795.31</v>
      </c>
      <c r="H253" s="235">
        <v>954.37</v>
      </c>
      <c r="I253" s="235">
        <v>1113.44</v>
      </c>
      <c r="J253" s="235">
        <v>1272.5</v>
      </c>
      <c r="K253" s="235">
        <v>1431.57</v>
      </c>
      <c r="L253" s="297">
        <v>1590.63</v>
      </c>
      <c r="M253" s="297">
        <v>1749.7</v>
      </c>
      <c r="N253" s="297">
        <v>1908.76</v>
      </c>
      <c r="T253" t="s">
        <v>965</v>
      </c>
      <c r="U253" s="2" t="s">
        <v>76</v>
      </c>
    </row>
    <row r="254" spans="1:21" x14ac:dyDescent="0.3">
      <c r="A254" t="s">
        <v>441</v>
      </c>
      <c r="B254" t="s">
        <v>713</v>
      </c>
      <c r="C254" s="235">
        <v>0</v>
      </c>
      <c r="D254" s="263">
        <v>0</v>
      </c>
      <c r="E254" s="263">
        <v>0</v>
      </c>
      <c r="F254" s="235">
        <v>0</v>
      </c>
      <c r="G254" s="235">
        <v>0</v>
      </c>
      <c r="H254" s="235">
        <v>0</v>
      </c>
      <c r="I254" s="235">
        <v>0</v>
      </c>
      <c r="J254" s="235">
        <v>0</v>
      </c>
      <c r="K254" s="235">
        <v>0</v>
      </c>
      <c r="L254" s="297">
        <v>0</v>
      </c>
      <c r="M254" s="297">
        <v>0</v>
      </c>
      <c r="N254" s="297">
        <v>0</v>
      </c>
      <c r="T254" t="s">
        <v>965</v>
      </c>
      <c r="U254" s="2" t="s">
        <v>76</v>
      </c>
    </row>
    <row r="255" spans="1:21" x14ac:dyDescent="0.3">
      <c r="A255" t="s">
        <v>442</v>
      </c>
      <c r="B255" t="s">
        <v>714</v>
      </c>
      <c r="C255" s="235">
        <v>103943.7</v>
      </c>
      <c r="D255" s="263">
        <v>207624.72</v>
      </c>
      <c r="E255" s="263">
        <v>311689.31</v>
      </c>
      <c r="F255" s="235">
        <v>415752.4</v>
      </c>
      <c r="G255" s="235">
        <v>520106.72</v>
      </c>
      <c r="H255" s="235">
        <v>624459.5</v>
      </c>
      <c r="I255" s="235">
        <v>728813.85</v>
      </c>
      <c r="J255" s="235">
        <v>833524.59</v>
      </c>
      <c r="K255" s="235">
        <v>938236.99</v>
      </c>
      <c r="L255" s="297">
        <v>1042947.73</v>
      </c>
      <c r="M255" s="297">
        <v>1147360.58</v>
      </c>
      <c r="N255" s="297">
        <v>1251432.1100000001</v>
      </c>
      <c r="T255" t="s">
        <v>965</v>
      </c>
      <c r="U255" s="2" t="s">
        <v>76</v>
      </c>
    </row>
    <row r="256" spans="1:21" x14ac:dyDescent="0.3">
      <c r="A256" t="s">
        <v>767</v>
      </c>
      <c r="B256" t="s">
        <v>768</v>
      </c>
      <c r="C256" s="235">
        <v>1229.29</v>
      </c>
      <c r="D256" s="263">
        <v>2458.59</v>
      </c>
      <c r="E256" s="263">
        <v>3687.88</v>
      </c>
      <c r="F256" s="235">
        <v>4917.18</v>
      </c>
      <c r="G256" s="235">
        <v>6146.48</v>
      </c>
      <c r="H256" s="235">
        <v>7375.78</v>
      </c>
      <c r="I256" s="235">
        <v>8605.08</v>
      </c>
      <c r="J256" s="235">
        <v>9834.3799999999992</v>
      </c>
      <c r="K256" s="235">
        <v>11063.68</v>
      </c>
      <c r="L256" s="297">
        <v>12292.98</v>
      </c>
      <c r="M256" s="297">
        <v>13522.28</v>
      </c>
      <c r="N256" s="297">
        <v>14751.58</v>
      </c>
      <c r="T256" t="s">
        <v>965</v>
      </c>
      <c r="U256" s="2" t="s">
        <v>76</v>
      </c>
    </row>
    <row r="257" spans="1:21" x14ac:dyDescent="0.3">
      <c r="A257" s="275" t="s">
        <v>443</v>
      </c>
      <c r="B257" s="275" t="s">
        <v>715</v>
      </c>
      <c r="C257" s="286">
        <v>0</v>
      </c>
      <c r="D257" s="287">
        <v>0</v>
      </c>
      <c r="E257" s="287">
        <v>0</v>
      </c>
      <c r="F257" s="286">
        <v>0</v>
      </c>
      <c r="G257" s="286">
        <v>0</v>
      </c>
      <c r="H257" s="286">
        <v>0</v>
      </c>
      <c r="I257" s="286">
        <v>0</v>
      </c>
      <c r="J257" s="286">
        <v>0</v>
      </c>
      <c r="K257" s="286">
        <v>0</v>
      </c>
      <c r="L257" s="305">
        <v>1575.01</v>
      </c>
      <c r="M257" s="305">
        <v>1575.01</v>
      </c>
      <c r="N257" s="305">
        <v>1575.01</v>
      </c>
      <c r="T257" t="s">
        <v>965</v>
      </c>
      <c r="U257" s="2" t="s">
        <v>76</v>
      </c>
    </row>
    <row r="258" spans="1:21" x14ac:dyDescent="0.3">
      <c r="A258" t="s">
        <v>847</v>
      </c>
      <c r="B258" t="s">
        <v>848</v>
      </c>
      <c r="C258" s="235">
        <v>13897.92</v>
      </c>
      <c r="D258" s="263">
        <v>27795.84</v>
      </c>
      <c r="E258" s="263">
        <v>41693.760000000002</v>
      </c>
      <c r="F258" s="235">
        <v>55591.68</v>
      </c>
      <c r="G258" s="235">
        <v>69489.600000000006</v>
      </c>
      <c r="H258" s="235">
        <v>83783.16</v>
      </c>
      <c r="I258" s="235">
        <v>98076.72</v>
      </c>
      <c r="J258" s="235">
        <v>112370.28</v>
      </c>
      <c r="K258" s="235">
        <v>126663.84</v>
      </c>
      <c r="L258" s="297">
        <v>140957.4</v>
      </c>
      <c r="M258" s="297">
        <v>155250.96</v>
      </c>
      <c r="N258" s="297">
        <v>169544.52</v>
      </c>
      <c r="T258" t="s">
        <v>965</v>
      </c>
      <c r="U258" s="2" t="s">
        <v>76</v>
      </c>
    </row>
    <row r="259" spans="1:21" x14ac:dyDescent="0.3">
      <c r="A259" t="s">
        <v>849</v>
      </c>
      <c r="B259" t="s">
        <v>850</v>
      </c>
      <c r="C259" s="235">
        <v>1758.76</v>
      </c>
      <c r="D259" s="263">
        <v>3517.52</v>
      </c>
      <c r="E259" s="263">
        <v>5276.28</v>
      </c>
      <c r="F259" s="235">
        <v>7035.04</v>
      </c>
      <c r="G259" s="235">
        <v>8793.7999999999993</v>
      </c>
      <c r="H259" s="235">
        <v>14986.22</v>
      </c>
      <c r="I259" s="235">
        <v>17965.79</v>
      </c>
      <c r="J259" s="235">
        <v>20945.36</v>
      </c>
      <c r="K259" s="235">
        <v>24909.51</v>
      </c>
      <c r="L259" s="297">
        <v>28873.66</v>
      </c>
      <c r="M259" s="297">
        <v>32837.81</v>
      </c>
      <c r="N259" s="297">
        <v>36801.96</v>
      </c>
      <c r="T259" t="s">
        <v>965</v>
      </c>
      <c r="U259" s="2" t="s">
        <v>76</v>
      </c>
    </row>
    <row r="260" spans="1:21" x14ac:dyDescent="0.3">
      <c r="A260" t="s">
        <v>444</v>
      </c>
      <c r="B260" t="s">
        <v>716</v>
      </c>
      <c r="C260" s="235">
        <v>16824.419999999998</v>
      </c>
      <c r="D260" s="263">
        <v>26804.17</v>
      </c>
      <c r="E260" s="263">
        <v>45422.87</v>
      </c>
      <c r="F260" s="235">
        <v>64041.57</v>
      </c>
      <c r="G260" s="235">
        <v>82660.27</v>
      </c>
      <c r="H260" s="235">
        <v>101278.97</v>
      </c>
      <c r="I260" s="235">
        <v>119897.67</v>
      </c>
      <c r="J260" s="235">
        <v>138566.25</v>
      </c>
      <c r="K260" s="235">
        <v>157184.95000000001</v>
      </c>
      <c r="L260" s="297">
        <v>175803.65</v>
      </c>
      <c r="M260" s="297">
        <v>194422.35</v>
      </c>
      <c r="N260" s="297">
        <v>213041.05</v>
      </c>
      <c r="T260" t="s">
        <v>965</v>
      </c>
      <c r="U260" s="2" t="s">
        <v>76</v>
      </c>
    </row>
    <row r="261" spans="1:21" x14ac:dyDescent="0.3">
      <c r="A261" t="s">
        <v>445</v>
      </c>
      <c r="B261" t="s">
        <v>717</v>
      </c>
      <c r="C261" s="235">
        <v>0</v>
      </c>
      <c r="D261" s="263">
        <v>0</v>
      </c>
      <c r="E261" s="263">
        <v>0</v>
      </c>
      <c r="F261" s="235">
        <v>0</v>
      </c>
      <c r="G261" s="235">
        <v>-0.01</v>
      </c>
      <c r="H261" s="235">
        <v>-0.01</v>
      </c>
      <c r="I261" s="235">
        <v>-0.01</v>
      </c>
      <c r="J261" s="235">
        <v>-0.01</v>
      </c>
      <c r="K261" s="235">
        <v>-0.01</v>
      </c>
      <c r="L261" s="297">
        <v>-0.01</v>
      </c>
      <c r="M261" s="297">
        <v>-0.01</v>
      </c>
      <c r="N261" s="297">
        <v>-0.01</v>
      </c>
      <c r="T261" t="s">
        <v>965</v>
      </c>
      <c r="U261" s="2" t="s">
        <v>76</v>
      </c>
    </row>
    <row r="262" spans="1:21" x14ac:dyDescent="0.3">
      <c r="A262" t="s">
        <v>446</v>
      </c>
      <c r="B262" t="s">
        <v>718</v>
      </c>
      <c r="C262" s="235">
        <v>2659.41</v>
      </c>
      <c r="D262" s="263">
        <v>1751.52</v>
      </c>
      <c r="E262" s="263">
        <v>4344.76</v>
      </c>
      <c r="F262" s="235">
        <v>6764</v>
      </c>
      <c r="G262" s="235">
        <v>9183.24</v>
      </c>
      <c r="H262" s="235">
        <v>11602.48</v>
      </c>
      <c r="I262" s="235">
        <v>14039.13</v>
      </c>
      <c r="J262" s="235">
        <v>16475.78</v>
      </c>
      <c r="K262" s="235">
        <v>6459.5</v>
      </c>
      <c r="L262" s="297">
        <v>7117.16</v>
      </c>
      <c r="M262" s="297">
        <v>7774.82</v>
      </c>
      <c r="N262" s="297">
        <v>8432.48</v>
      </c>
      <c r="T262" t="s">
        <v>965</v>
      </c>
      <c r="U262" s="2" t="s">
        <v>76</v>
      </c>
    </row>
    <row r="263" spans="1:21" x14ac:dyDescent="0.3">
      <c r="A263" t="s">
        <v>447</v>
      </c>
      <c r="B263" t="s">
        <v>719</v>
      </c>
      <c r="C263" s="235">
        <v>0</v>
      </c>
      <c r="D263" s="263">
        <v>3557.98</v>
      </c>
      <c r="E263" s="263">
        <v>3557.98</v>
      </c>
      <c r="F263" s="235">
        <v>3696.98</v>
      </c>
      <c r="G263" s="235">
        <v>3791.22</v>
      </c>
      <c r="H263" s="235">
        <v>4549.16</v>
      </c>
      <c r="I263" s="235">
        <v>4549.16</v>
      </c>
      <c r="J263" s="235">
        <v>4549.16</v>
      </c>
      <c r="K263" s="235">
        <v>17002.09</v>
      </c>
      <c r="L263" s="297">
        <v>18781.080000000002</v>
      </c>
      <c r="M263" s="297">
        <v>20560.07</v>
      </c>
      <c r="N263" s="297">
        <v>22704.06</v>
      </c>
      <c r="T263" t="s">
        <v>965</v>
      </c>
      <c r="U263" s="2" t="s">
        <v>76</v>
      </c>
    </row>
    <row r="264" spans="1:21" x14ac:dyDescent="0.3">
      <c r="A264" t="s">
        <v>907</v>
      </c>
      <c r="B264" t="s">
        <v>908</v>
      </c>
      <c r="C264" s="235">
        <v>0</v>
      </c>
      <c r="D264" s="263">
        <v>2576.12</v>
      </c>
      <c r="E264" s="263">
        <v>2576.12</v>
      </c>
      <c r="F264" s="235">
        <v>2576.12</v>
      </c>
      <c r="G264" s="235">
        <v>2576.12</v>
      </c>
      <c r="H264" s="235">
        <v>2576.12</v>
      </c>
      <c r="I264" s="235">
        <v>2576.12</v>
      </c>
      <c r="J264" s="235">
        <v>2576.12</v>
      </c>
      <c r="K264" s="235">
        <v>2576.12</v>
      </c>
      <c r="L264" s="297">
        <v>2576.12</v>
      </c>
      <c r="M264" s="297">
        <v>2576.12</v>
      </c>
      <c r="N264" s="297">
        <v>2576.12</v>
      </c>
      <c r="T264" t="s">
        <v>965</v>
      </c>
      <c r="U264" s="2" t="s">
        <v>76</v>
      </c>
    </row>
    <row r="265" spans="1:21" x14ac:dyDescent="0.3">
      <c r="A265" t="s">
        <v>448</v>
      </c>
      <c r="B265" t="s">
        <v>720</v>
      </c>
      <c r="C265" s="235">
        <v>0</v>
      </c>
      <c r="D265" s="263">
        <v>0</v>
      </c>
      <c r="E265" s="263">
        <v>0</v>
      </c>
      <c r="F265" s="235">
        <v>0</v>
      </c>
      <c r="G265" s="235">
        <v>0</v>
      </c>
      <c r="H265" s="235">
        <v>0</v>
      </c>
      <c r="I265" s="235">
        <v>0</v>
      </c>
      <c r="J265" s="235">
        <v>0</v>
      </c>
      <c r="K265" s="235">
        <v>0</v>
      </c>
      <c r="L265" s="297">
        <v>0</v>
      </c>
      <c r="M265" s="297">
        <v>0</v>
      </c>
      <c r="N265" s="297">
        <v>0</v>
      </c>
      <c r="T265" t="s">
        <v>965</v>
      </c>
      <c r="U265" s="2" t="s">
        <v>76</v>
      </c>
    </row>
    <row r="266" spans="1:21" x14ac:dyDescent="0.3">
      <c r="A266" t="s">
        <v>449</v>
      </c>
      <c r="B266" t="s">
        <v>721</v>
      </c>
      <c r="C266" s="235">
        <v>6485.33</v>
      </c>
      <c r="D266" s="263">
        <v>12970.66</v>
      </c>
      <c r="E266" s="263">
        <v>19455.990000000002</v>
      </c>
      <c r="F266" s="235">
        <v>26371.99</v>
      </c>
      <c r="G266" s="235">
        <v>33287.99</v>
      </c>
      <c r="H266" s="235">
        <v>40203.99</v>
      </c>
      <c r="I266" s="235">
        <v>47119.99</v>
      </c>
      <c r="J266" s="235">
        <v>54035.99</v>
      </c>
      <c r="K266" s="235">
        <v>60951.99</v>
      </c>
      <c r="L266" s="297">
        <v>67867.990000000005</v>
      </c>
      <c r="M266" s="297">
        <v>74783.990000000005</v>
      </c>
      <c r="N266" s="297">
        <v>81699.990000000005</v>
      </c>
      <c r="T266" t="s">
        <v>965</v>
      </c>
      <c r="U266" s="2" t="s">
        <v>76</v>
      </c>
    </row>
    <row r="267" spans="1:21" x14ac:dyDescent="0.3">
      <c r="A267" t="s">
        <v>1004</v>
      </c>
      <c r="B267" t="s">
        <v>1020</v>
      </c>
      <c r="C267" s="235">
        <v>0</v>
      </c>
      <c r="D267" s="263">
        <v>0</v>
      </c>
      <c r="E267" s="263">
        <v>0</v>
      </c>
      <c r="F267" s="235">
        <v>0</v>
      </c>
      <c r="G267" s="235">
        <v>0</v>
      </c>
      <c r="H267" s="235">
        <v>0</v>
      </c>
      <c r="I267" s="235">
        <v>0</v>
      </c>
      <c r="J267" s="235">
        <v>0</v>
      </c>
      <c r="K267" s="235">
        <v>0</v>
      </c>
      <c r="L267" s="297">
        <v>24.05</v>
      </c>
      <c r="M267" s="297">
        <v>4141.8900000000003</v>
      </c>
      <c r="N267" s="297">
        <v>4141.8900000000003</v>
      </c>
      <c r="T267" t="s">
        <v>965</v>
      </c>
      <c r="U267" s="2" t="s">
        <v>76</v>
      </c>
    </row>
    <row r="268" spans="1:21" x14ac:dyDescent="0.3">
      <c r="A268" t="s">
        <v>450</v>
      </c>
      <c r="B268" t="s">
        <v>722</v>
      </c>
      <c r="C268" s="235">
        <v>0</v>
      </c>
      <c r="D268" s="263">
        <v>0</v>
      </c>
      <c r="E268" s="263">
        <v>71</v>
      </c>
      <c r="F268" s="235">
        <v>71</v>
      </c>
      <c r="G268" s="235">
        <v>71</v>
      </c>
      <c r="H268" s="235">
        <v>71</v>
      </c>
      <c r="I268" s="235">
        <v>188.63</v>
      </c>
      <c r="J268" s="235">
        <v>238.67</v>
      </c>
      <c r="K268" s="235">
        <v>249.51</v>
      </c>
      <c r="L268" s="297">
        <v>5155.93</v>
      </c>
      <c r="M268" s="297">
        <v>240.93</v>
      </c>
      <c r="N268" s="297">
        <v>1501.54</v>
      </c>
      <c r="T268" t="s">
        <v>965</v>
      </c>
      <c r="U268" s="2" t="s">
        <v>76</v>
      </c>
    </row>
    <row r="269" spans="1:21" x14ac:dyDescent="0.3">
      <c r="A269" t="s">
        <v>985</v>
      </c>
      <c r="B269" t="s">
        <v>986</v>
      </c>
      <c r="C269" s="235">
        <v>0</v>
      </c>
      <c r="D269" s="263">
        <v>2812.62</v>
      </c>
      <c r="E269" s="263">
        <v>2812.62</v>
      </c>
      <c r="F269" s="235">
        <v>2812.62</v>
      </c>
      <c r="G269" s="235">
        <v>2812.62</v>
      </c>
      <c r="H269" s="235">
        <v>2812.62</v>
      </c>
      <c r="I269" s="235">
        <v>2812.62</v>
      </c>
      <c r="J269" s="235">
        <v>2812.62</v>
      </c>
      <c r="K269" s="235">
        <v>2812.62</v>
      </c>
      <c r="L269" s="297">
        <v>2812.62</v>
      </c>
      <c r="M269" s="297">
        <v>2812.62</v>
      </c>
      <c r="N269" s="297">
        <v>2812.62</v>
      </c>
      <c r="T269" t="s">
        <v>965</v>
      </c>
      <c r="U269" s="2" t="s">
        <v>76</v>
      </c>
    </row>
    <row r="270" spans="1:21" x14ac:dyDescent="0.3">
      <c r="A270" t="s">
        <v>751</v>
      </c>
      <c r="B270" t="s">
        <v>752</v>
      </c>
      <c r="C270" s="235">
        <v>12879.86</v>
      </c>
      <c r="D270" s="263">
        <v>29501.94</v>
      </c>
      <c r="E270" s="263">
        <v>44643.9</v>
      </c>
      <c r="F270" s="235">
        <v>66651.350000000006</v>
      </c>
      <c r="G270" s="235">
        <v>74054.100000000006</v>
      </c>
      <c r="H270" s="235">
        <v>84390.02</v>
      </c>
      <c r="I270" s="235">
        <v>82084.460000000006</v>
      </c>
      <c r="J270" s="235">
        <v>70746.100000000006</v>
      </c>
      <c r="K270" s="235">
        <v>83717.14</v>
      </c>
      <c r="L270" s="297">
        <v>70925.850000000006</v>
      </c>
      <c r="M270" s="297">
        <v>52463.22</v>
      </c>
      <c r="N270" s="297">
        <v>38265.550000000003</v>
      </c>
      <c r="T270" t="s">
        <v>965</v>
      </c>
      <c r="U270" s="2" t="s">
        <v>76</v>
      </c>
    </row>
    <row r="271" spans="1:21" x14ac:dyDescent="0.3">
      <c r="A271" t="s">
        <v>502</v>
      </c>
      <c r="B271" t="s">
        <v>723</v>
      </c>
      <c r="C271" s="235">
        <v>0</v>
      </c>
      <c r="D271" s="263">
        <v>0</v>
      </c>
      <c r="E271" s="263"/>
      <c r="F271" s="235">
        <v>0</v>
      </c>
      <c r="G271" s="235">
        <v>0</v>
      </c>
      <c r="H271" s="235">
        <v>0</v>
      </c>
      <c r="I271" s="235">
        <v>0</v>
      </c>
      <c r="J271" s="235">
        <v>0</v>
      </c>
      <c r="K271" s="235">
        <v>0</v>
      </c>
      <c r="L271" s="297">
        <v>0</v>
      </c>
      <c r="M271" s="297">
        <v>0</v>
      </c>
      <c r="N271" s="297">
        <v>-15.86</v>
      </c>
      <c r="T271" t="s">
        <v>965</v>
      </c>
      <c r="U271" s="2" t="s">
        <v>76</v>
      </c>
    </row>
    <row r="272" spans="1:21" x14ac:dyDescent="0.3">
      <c r="A272" t="s">
        <v>872</v>
      </c>
      <c r="B272" t="s">
        <v>873</v>
      </c>
      <c r="C272" s="235">
        <v>0</v>
      </c>
      <c r="D272" s="263">
        <v>0</v>
      </c>
      <c r="E272" s="263"/>
      <c r="F272" s="235">
        <v>0</v>
      </c>
      <c r="G272" s="235">
        <v>0</v>
      </c>
      <c r="H272" s="235">
        <v>0</v>
      </c>
      <c r="I272" s="235">
        <v>0</v>
      </c>
      <c r="J272" s="235">
        <v>0</v>
      </c>
      <c r="K272" s="235">
        <v>0</v>
      </c>
      <c r="L272" s="297">
        <v>0</v>
      </c>
      <c r="M272" s="297">
        <v>0</v>
      </c>
      <c r="N272" s="297">
        <v>0</v>
      </c>
      <c r="T272" t="s">
        <v>965</v>
      </c>
      <c r="U272" s="2" t="s">
        <v>76</v>
      </c>
    </row>
    <row r="273" spans="1:21" x14ac:dyDescent="0.3">
      <c r="A273" t="s">
        <v>451</v>
      </c>
      <c r="B273" t="s">
        <v>724</v>
      </c>
      <c r="C273" s="235">
        <v>0</v>
      </c>
      <c r="D273" s="263">
        <v>0</v>
      </c>
      <c r="E273" s="263"/>
      <c r="F273" s="235">
        <v>0</v>
      </c>
      <c r="G273" s="235">
        <v>0</v>
      </c>
      <c r="H273" s="235">
        <v>0</v>
      </c>
      <c r="I273" s="235">
        <v>0</v>
      </c>
      <c r="J273" s="235">
        <v>0</v>
      </c>
      <c r="K273" s="235">
        <v>-203.4</v>
      </c>
      <c r="L273" s="297">
        <v>-203.4</v>
      </c>
      <c r="M273" s="297">
        <v>-203.4</v>
      </c>
      <c r="N273" s="297">
        <v>-372.37</v>
      </c>
      <c r="T273" t="s">
        <v>965</v>
      </c>
      <c r="U273" s="2" t="s">
        <v>76</v>
      </c>
    </row>
    <row r="274" spans="1:21" x14ac:dyDescent="0.3">
      <c r="A274" t="s">
        <v>452</v>
      </c>
      <c r="B274" t="s">
        <v>725</v>
      </c>
      <c r="C274" s="235">
        <v>0</v>
      </c>
      <c r="D274" s="263">
        <v>0</v>
      </c>
      <c r="E274" s="263">
        <v>0</v>
      </c>
      <c r="F274" s="235">
        <v>0</v>
      </c>
      <c r="G274" s="235">
        <v>0</v>
      </c>
      <c r="H274" s="235">
        <v>0</v>
      </c>
      <c r="I274" s="235">
        <v>0</v>
      </c>
      <c r="J274" s="235">
        <v>0</v>
      </c>
      <c r="K274" s="235">
        <v>0</v>
      </c>
      <c r="L274" s="297">
        <v>0</v>
      </c>
      <c r="M274" s="297">
        <v>0</v>
      </c>
      <c r="N274" s="297">
        <v>0</v>
      </c>
      <c r="T274" t="s">
        <v>965</v>
      </c>
      <c r="U274" s="2" t="s">
        <v>76</v>
      </c>
    </row>
    <row r="275" spans="1:21" x14ac:dyDescent="0.3">
      <c r="A275" t="s">
        <v>453</v>
      </c>
      <c r="B275" t="s">
        <v>726</v>
      </c>
      <c r="C275" s="235">
        <v>-763989.67</v>
      </c>
      <c r="D275" s="263">
        <v>-781950.76</v>
      </c>
      <c r="E275" s="263">
        <v>-839225.01</v>
      </c>
      <c r="F275" s="235">
        <v>-792420.65</v>
      </c>
      <c r="G275" s="235">
        <v>-1059789.3600000001</v>
      </c>
      <c r="H275" s="235">
        <v>-1447363.26</v>
      </c>
      <c r="I275" s="235">
        <v>-1685773.19</v>
      </c>
      <c r="J275" s="235">
        <v>-2121658.33</v>
      </c>
      <c r="K275" s="235">
        <v>-2779403.4</v>
      </c>
      <c r="L275" s="297">
        <v>-2362159.4500000002</v>
      </c>
      <c r="M275" s="297">
        <v>-2342993.16</v>
      </c>
      <c r="N275" s="297">
        <v>-2477859.34</v>
      </c>
      <c r="T275" t="s">
        <v>965</v>
      </c>
      <c r="U275" s="2" t="s">
        <v>76</v>
      </c>
    </row>
    <row r="276" spans="1:21" x14ac:dyDescent="0.3">
      <c r="A276" t="s">
        <v>1005</v>
      </c>
      <c r="B276" t="s">
        <v>1021</v>
      </c>
      <c r="C276" s="235">
        <v>0</v>
      </c>
      <c r="D276" s="263">
        <v>0</v>
      </c>
      <c r="E276" s="263">
        <v>0</v>
      </c>
      <c r="F276" s="235">
        <v>0</v>
      </c>
      <c r="G276" s="235">
        <v>0</v>
      </c>
      <c r="H276" s="235">
        <v>0</v>
      </c>
      <c r="I276" s="235">
        <v>0</v>
      </c>
      <c r="J276" s="235">
        <v>0</v>
      </c>
      <c r="K276" s="235">
        <v>0</v>
      </c>
      <c r="L276" s="297">
        <v>0</v>
      </c>
      <c r="M276" s="297">
        <v>0</v>
      </c>
      <c r="N276" s="297">
        <v>0</v>
      </c>
      <c r="T276" t="s">
        <v>965</v>
      </c>
      <c r="U276" s="2" t="s">
        <v>76</v>
      </c>
    </row>
    <row r="277" spans="1:21" x14ac:dyDescent="0.3">
      <c r="A277" t="s">
        <v>916</v>
      </c>
      <c r="B277" t="s">
        <v>917</v>
      </c>
      <c r="C277" s="235">
        <v>-1546.2</v>
      </c>
      <c r="D277" s="263">
        <v>-1546.2</v>
      </c>
      <c r="E277" s="263">
        <v>-1546.2</v>
      </c>
      <c r="F277" s="235">
        <v>-1546.2</v>
      </c>
      <c r="G277" s="235">
        <v>1243.77</v>
      </c>
      <c r="H277" s="235">
        <v>1243.77</v>
      </c>
      <c r="I277" s="235">
        <v>1590.88</v>
      </c>
      <c r="J277" s="235">
        <v>3752.77</v>
      </c>
      <c r="K277" s="235">
        <v>3752.77</v>
      </c>
      <c r="L277" s="297">
        <v>-9640.1</v>
      </c>
      <c r="M277" s="297">
        <v>-9640.1</v>
      </c>
      <c r="N277" s="297">
        <v>-9640.1</v>
      </c>
      <c r="T277" t="s">
        <v>965</v>
      </c>
      <c r="U277" s="2" t="s">
        <v>76</v>
      </c>
    </row>
    <row r="278" spans="1:21" x14ac:dyDescent="0.3">
      <c r="A278" t="s">
        <v>454</v>
      </c>
      <c r="B278" t="s">
        <v>727</v>
      </c>
      <c r="C278" s="235">
        <v>73055.38</v>
      </c>
      <c r="D278" s="263">
        <v>141579.10999999999</v>
      </c>
      <c r="E278" s="263">
        <v>205480.44</v>
      </c>
      <c r="F278" s="235">
        <v>244143.77</v>
      </c>
      <c r="G278" s="235">
        <v>279310.45</v>
      </c>
      <c r="H278" s="235">
        <v>321773.44</v>
      </c>
      <c r="I278" s="235">
        <v>382611.20000000001</v>
      </c>
      <c r="J278" s="235">
        <v>448688.9</v>
      </c>
      <c r="K278" s="235">
        <v>522928.82</v>
      </c>
      <c r="L278" s="297">
        <v>572874.63</v>
      </c>
      <c r="M278" s="297">
        <v>602954.36</v>
      </c>
      <c r="N278" s="297">
        <v>634378.48</v>
      </c>
      <c r="T278" t="s">
        <v>965</v>
      </c>
      <c r="U278" s="2" t="s">
        <v>76</v>
      </c>
    </row>
    <row r="279" spans="1:21" x14ac:dyDescent="0.3">
      <c r="A279" t="s">
        <v>851</v>
      </c>
      <c r="B279" t="s">
        <v>852</v>
      </c>
      <c r="C279" s="235">
        <v>2994.91</v>
      </c>
      <c r="D279" s="263">
        <v>5989.82</v>
      </c>
      <c r="E279" s="263">
        <v>8411.8799999999992</v>
      </c>
      <c r="F279" s="235">
        <v>11215.84</v>
      </c>
      <c r="G279" s="235">
        <v>14019.8</v>
      </c>
      <c r="H279" s="235">
        <v>17676.990000000002</v>
      </c>
      <c r="I279" s="235">
        <v>20831.900000000001</v>
      </c>
      <c r="J279" s="235">
        <v>23978.92</v>
      </c>
      <c r="K279" s="235">
        <v>27771.7</v>
      </c>
      <c r="L279" s="297">
        <v>31548.06</v>
      </c>
      <c r="M279" s="297">
        <v>35307.89</v>
      </c>
      <c r="N279" s="297">
        <v>39051.07</v>
      </c>
      <c r="T279" t="s">
        <v>965</v>
      </c>
      <c r="U279" s="2" t="s">
        <v>76</v>
      </c>
    </row>
    <row r="280" spans="1:21" x14ac:dyDescent="0.3">
      <c r="A280" t="s">
        <v>953</v>
      </c>
      <c r="B280" t="s">
        <v>954</v>
      </c>
      <c r="C280" s="235">
        <v>0</v>
      </c>
      <c r="D280" s="263">
        <v>0</v>
      </c>
      <c r="E280" s="263">
        <v>0</v>
      </c>
      <c r="F280" s="235">
        <v>0</v>
      </c>
      <c r="G280" s="235">
        <v>0</v>
      </c>
      <c r="H280" s="235">
        <v>0</v>
      </c>
      <c r="I280" s="235">
        <v>0</v>
      </c>
      <c r="J280" s="235">
        <v>0</v>
      </c>
      <c r="K280" s="235">
        <v>0</v>
      </c>
      <c r="L280" s="297">
        <v>0</v>
      </c>
      <c r="M280" s="297">
        <v>0</v>
      </c>
      <c r="N280" s="297">
        <v>0</v>
      </c>
    </row>
    <row r="281" spans="1:21" x14ac:dyDescent="0.3">
      <c r="A281" t="s">
        <v>455</v>
      </c>
      <c r="B281" t="s">
        <v>728</v>
      </c>
      <c r="C281" s="235">
        <v>649150.24</v>
      </c>
      <c r="D281" s="263">
        <v>660902.64</v>
      </c>
      <c r="E281" s="263">
        <v>710339.99</v>
      </c>
      <c r="F281" s="235">
        <v>717938.47</v>
      </c>
      <c r="G281" s="235">
        <v>860591.93</v>
      </c>
      <c r="H281" s="235">
        <v>1133901.4099999999</v>
      </c>
      <c r="I281" s="235">
        <v>1237832.8899999999</v>
      </c>
      <c r="J281" s="235">
        <v>1282263.33</v>
      </c>
      <c r="K281" s="235">
        <v>1585210.9</v>
      </c>
      <c r="L281" s="297">
        <v>1560091.07</v>
      </c>
      <c r="M281" s="297">
        <v>1975500.24</v>
      </c>
      <c r="N281" s="297">
        <v>2151147.2400000002</v>
      </c>
    </row>
    <row r="282" spans="1:21" x14ac:dyDescent="0.3">
      <c r="A282" t="s">
        <v>914</v>
      </c>
      <c r="B282" t="s">
        <v>915</v>
      </c>
      <c r="C282" s="235">
        <v>0</v>
      </c>
      <c r="D282" s="263">
        <v>0</v>
      </c>
      <c r="E282" s="263">
        <v>0</v>
      </c>
      <c r="F282" s="235">
        <v>0</v>
      </c>
      <c r="G282" s="235">
        <v>0</v>
      </c>
      <c r="H282" s="235">
        <v>0</v>
      </c>
      <c r="I282" s="235">
        <v>0</v>
      </c>
      <c r="J282" s="235">
        <v>0</v>
      </c>
      <c r="K282" s="235">
        <v>0</v>
      </c>
      <c r="L282" s="297">
        <v>0</v>
      </c>
      <c r="M282" s="297">
        <v>0</v>
      </c>
      <c r="N282" s="297">
        <v>0</v>
      </c>
    </row>
    <row r="283" spans="1:21" x14ac:dyDescent="0.3">
      <c r="A283" t="s">
        <v>729</v>
      </c>
      <c r="B283" t="s">
        <v>730</v>
      </c>
      <c r="C283" s="235">
        <v>138518.41</v>
      </c>
      <c r="D283" s="263">
        <v>247147.35</v>
      </c>
      <c r="E283" s="263">
        <v>346440.21</v>
      </c>
      <c r="F283" s="235">
        <v>455332.85</v>
      </c>
      <c r="G283" s="235">
        <v>589373.78</v>
      </c>
      <c r="H283" s="235">
        <v>700244.95</v>
      </c>
      <c r="I283" s="235">
        <v>809851.25</v>
      </c>
      <c r="J283" s="235">
        <v>948809.93</v>
      </c>
      <c r="K283" s="235">
        <v>1051645</v>
      </c>
      <c r="L283" s="297">
        <v>1165269.67</v>
      </c>
      <c r="M283" s="297">
        <v>1227217.67</v>
      </c>
      <c r="N283" s="297">
        <v>1294053.48</v>
      </c>
      <c r="S283" s="235">
        <f t="shared" ref="S283" si="5">SUM(S2:S279)</f>
        <v>0</v>
      </c>
    </row>
    <row r="284" spans="1:21" x14ac:dyDescent="0.3">
      <c r="A284" t="s">
        <v>745</v>
      </c>
      <c r="B284" t="s">
        <v>746</v>
      </c>
      <c r="C284" s="235">
        <v>110.76</v>
      </c>
      <c r="D284" s="263">
        <v>110.76</v>
      </c>
      <c r="E284" s="263">
        <v>121.07</v>
      </c>
      <c r="F284" s="235">
        <v>123.13</v>
      </c>
      <c r="G284" s="235">
        <v>129.19999999999999</v>
      </c>
      <c r="H284" s="235">
        <v>146.15</v>
      </c>
      <c r="I284" s="235">
        <v>146.13999999999999</v>
      </c>
      <c r="J284" s="235">
        <v>146.16999999999999</v>
      </c>
      <c r="K284" s="235">
        <v>146.18</v>
      </c>
      <c r="L284" s="297">
        <v>146.63999999999999</v>
      </c>
      <c r="M284" s="297">
        <v>146.69999999999999</v>
      </c>
      <c r="N284" s="297">
        <v>148.97999999999999</v>
      </c>
    </row>
    <row r="285" spans="1:21" x14ac:dyDescent="0.3">
      <c r="A285" t="s">
        <v>504</v>
      </c>
      <c r="B285" t="s">
        <v>731</v>
      </c>
      <c r="C285" s="235">
        <v>0</v>
      </c>
      <c r="D285" s="263">
        <v>0</v>
      </c>
      <c r="E285" s="263"/>
      <c r="F285" s="235">
        <v>0</v>
      </c>
      <c r="G285" s="235">
        <v>0</v>
      </c>
      <c r="H285" s="235">
        <v>0</v>
      </c>
      <c r="I285" s="235">
        <v>0</v>
      </c>
      <c r="J285" s="235">
        <v>0</v>
      </c>
      <c r="K285" s="235">
        <v>0</v>
      </c>
      <c r="L285" s="297">
        <v>0</v>
      </c>
      <c r="M285" s="297">
        <v>0</v>
      </c>
      <c r="N285" s="297">
        <v>0</v>
      </c>
    </row>
    <row r="286" spans="1:21" x14ac:dyDescent="0.3">
      <c r="A286" t="s">
        <v>456</v>
      </c>
      <c r="B286" t="s">
        <v>747</v>
      </c>
      <c r="C286" s="235">
        <v>0</v>
      </c>
      <c r="D286" s="263">
        <v>0</v>
      </c>
      <c r="E286" s="263"/>
      <c r="F286" s="235">
        <v>0</v>
      </c>
      <c r="G286" s="235">
        <v>0</v>
      </c>
      <c r="H286" s="235">
        <v>0</v>
      </c>
      <c r="I286" s="235">
        <v>0</v>
      </c>
      <c r="J286" s="235">
        <v>0</v>
      </c>
      <c r="K286" s="235">
        <v>0</v>
      </c>
      <c r="L286" s="297">
        <v>0</v>
      </c>
      <c r="M286" s="297">
        <v>0</v>
      </c>
      <c r="N286" s="297">
        <v>0</v>
      </c>
    </row>
    <row r="287" spans="1:21" x14ac:dyDescent="0.3">
      <c r="A287" t="s">
        <v>748</v>
      </c>
      <c r="B287" t="s">
        <v>749</v>
      </c>
      <c r="C287" s="235">
        <v>0</v>
      </c>
      <c r="D287" s="263">
        <v>0</v>
      </c>
      <c r="E287" s="263"/>
      <c r="F287" s="235">
        <v>0</v>
      </c>
      <c r="G287" s="235">
        <v>0</v>
      </c>
      <c r="H287" s="235">
        <v>0</v>
      </c>
      <c r="I287" s="235">
        <v>0</v>
      </c>
      <c r="J287" s="235">
        <v>0</v>
      </c>
      <c r="K287" s="235">
        <v>0</v>
      </c>
      <c r="L287" s="297">
        <v>0</v>
      </c>
      <c r="M287" s="297">
        <v>0</v>
      </c>
      <c r="N287" s="297">
        <v>0</v>
      </c>
    </row>
    <row r="288" spans="1:21" x14ac:dyDescent="0.3">
      <c r="A288" t="s">
        <v>457</v>
      </c>
      <c r="B288" t="s">
        <v>750</v>
      </c>
      <c r="C288" s="235">
        <v>0</v>
      </c>
      <c r="D288" s="263">
        <v>0</v>
      </c>
      <c r="E288" s="263"/>
      <c r="F288" s="235">
        <v>0</v>
      </c>
      <c r="G288" s="235">
        <v>0</v>
      </c>
      <c r="H288" s="235">
        <v>0</v>
      </c>
      <c r="I288" s="235">
        <v>0</v>
      </c>
      <c r="J288" s="235">
        <v>0</v>
      </c>
      <c r="K288" s="235">
        <v>0</v>
      </c>
      <c r="L288" s="297">
        <v>0</v>
      </c>
      <c r="M288" s="297">
        <v>0</v>
      </c>
      <c r="N288" s="297">
        <v>0</v>
      </c>
    </row>
    <row r="289" spans="1:14" x14ac:dyDescent="0.3">
      <c r="A289" t="s">
        <v>775</v>
      </c>
      <c r="B289" t="s">
        <v>776</v>
      </c>
      <c r="C289" s="235">
        <v>0</v>
      </c>
      <c r="D289" s="263">
        <v>0</v>
      </c>
      <c r="E289" s="263"/>
      <c r="F289" s="235">
        <v>0</v>
      </c>
      <c r="G289" s="235">
        <v>0</v>
      </c>
      <c r="H289" s="235">
        <v>0</v>
      </c>
      <c r="I289" s="235">
        <v>0</v>
      </c>
      <c r="J289" s="235">
        <v>0</v>
      </c>
      <c r="K289" s="235">
        <v>0</v>
      </c>
      <c r="L289" s="297">
        <v>0</v>
      </c>
      <c r="M289" s="297">
        <v>0</v>
      </c>
      <c r="N289" s="297">
        <v>0</v>
      </c>
    </row>
    <row r="290" spans="1:14" x14ac:dyDescent="0.3">
      <c r="A290" t="s">
        <v>1001</v>
      </c>
      <c r="B290" t="s">
        <v>1014</v>
      </c>
      <c r="C290" s="235">
        <v>0</v>
      </c>
      <c r="D290" s="263">
        <v>0</v>
      </c>
      <c r="E290" s="263"/>
      <c r="F290" s="235">
        <v>0</v>
      </c>
      <c r="G290" s="235">
        <v>0</v>
      </c>
      <c r="H290" s="235">
        <v>0</v>
      </c>
      <c r="I290" s="235">
        <v>0</v>
      </c>
      <c r="J290" s="235">
        <v>0</v>
      </c>
      <c r="K290" s="235">
        <v>0</v>
      </c>
      <c r="L290" s="297">
        <v>0</v>
      </c>
      <c r="M290" s="297">
        <v>0</v>
      </c>
      <c r="N290" s="297">
        <v>0</v>
      </c>
    </row>
    <row r="291" spans="1:14" x14ac:dyDescent="0.3">
      <c r="A291" t="s">
        <v>630</v>
      </c>
      <c r="B291" t="s">
        <v>631</v>
      </c>
      <c r="C291" s="235">
        <v>0</v>
      </c>
      <c r="D291" s="263">
        <v>0</v>
      </c>
      <c r="E291" s="263"/>
      <c r="F291" s="235">
        <v>0</v>
      </c>
      <c r="G291" s="235">
        <v>0</v>
      </c>
      <c r="H291" s="235">
        <v>0</v>
      </c>
      <c r="I291" s="235">
        <v>0</v>
      </c>
      <c r="J291" s="235">
        <v>0</v>
      </c>
      <c r="K291" s="235">
        <v>0</v>
      </c>
      <c r="L291" s="297">
        <v>0</v>
      </c>
      <c r="M291" s="297">
        <v>0</v>
      </c>
      <c r="N291" s="297">
        <v>0</v>
      </c>
    </row>
    <row r="292" spans="1:14" x14ac:dyDescent="0.3">
      <c r="C292" s="235">
        <f t="shared" ref="C292:J292" si="6">SUM(C2:C291)</f>
        <v>2.1734791744165705E-9</v>
      </c>
      <c r="D292" s="235">
        <f t="shared" si="6"/>
        <v>2.307002944235137E-8</v>
      </c>
      <c r="E292" s="235">
        <f t="shared" si="6"/>
        <v>3.9807048324291827E-8</v>
      </c>
      <c r="F292" s="235">
        <f t="shared" si="6"/>
        <v>-5.1460233407851774E-8</v>
      </c>
      <c r="G292" s="235">
        <f t="shared" si="6"/>
        <v>-6.356287940434413E-9</v>
      </c>
      <c r="H292" s="235">
        <f t="shared" si="6"/>
        <v>8.7078717569966102E-9</v>
      </c>
      <c r="I292" s="235">
        <f t="shared" si="6"/>
        <v>-8.5123019744060002E-9</v>
      </c>
      <c r="J292" s="235">
        <f t="shared" si="6"/>
        <v>-9.8208090548723703E-9</v>
      </c>
      <c r="K292" s="235">
        <f>SUM(K2:K291)</f>
        <v>1.5664852526242612E-8</v>
      </c>
      <c r="L292" s="298">
        <f>SUM(L2:L291)</f>
        <v>8.4843350123264827E-9</v>
      </c>
      <c r="M292" s="298">
        <f>SUM(M2:M291)</f>
        <v>-3.4412380500725703E-8</v>
      </c>
      <c r="N292" s="297">
        <v>0</v>
      </c>
    </row>
    <row r="293" spans="1:14" x14ac:dyDescent="0.3">
      <c r="C293" s="235">
        <f t="shared" ref="C293:H293" si="7">SUM(C130:C292)</f>
        <v>205763.71000000037</v>
      </c>
      <c r="D293" s="235">
        <f t="shared" si="7"/>
        <v>-352042.77999998024</v>
      </c>
      <c r="E293" s="235">
        <f t="shared" si="7"/>
        <v>-9446436.2499999665</v>
      </c>
      <c r="F293" s="235">
        <f t="shared" si="7"/>
        <v>-9841962.6800000574</v>
      </c>
      <c r="G293" s="235">
        <f t="shared" si="7"/>
        <v>-9379007.5600000154</v>
      </c>
      <c r="H293" s="235">
        <f t="shared" si="7"/>
        <v>-9067665.6799999941</v>
      </c>
      <c r="I293" s="235">
        <f t="shared" ref="I293:M293" si="8">SUM(I130:I292)</f>
        <v>-8691643.5499999933</v>
      </c>
      <c r="J293" s="235">
        <f t="shared" si="8"/>
        <v>-7403788.0400000466</v>
      </c>
      <c r="K293" s="235">
        <f t="shared" si="8"/>
        <v>-6362036.7000000114</v>
      </c>
      <c r="L293" s="298">
        <f t="shared" si="8"/>
        <v>-4859368.9299999923</v>
      </c>
      <c r="M293" s="298">
        <f t="shared" si="8"/>
        <v>-3069456.3500000658</v>
      </c>
      <c r="N293" s="298">
        <f>SUM(N130:N292)</f>
        <v>-2456302.3799999868</v>
      </c>
    </row>
    <row r="294" spans="1:14" x14ac:dyDescent="0.3">
      <c r="D294" s="235">
        <f>D293-C293</f>
        <v>-557806.48999998067</v>
      </c>
      <c r="E294" s="235">
        <f t="shared" ref="E294:G294" si="9">E293-D293</f>
        <v>-9094393.4699999858</v>
      </c>
      <c r="F294" s="235">
        <f t="shared" si="9"/>
        <v>-395526.43000009097</v>
      </c>
      <c r="G294" s="235">
        <f t="shared" si="9"/>
        <v>462955.12000004202</v>
      </c>
      <c r="H294" s="235">
        <f t="shared" ref="H294:M294" si="10">H293-G293</f>
        <v>311341.88000002131</v>
      </c>
      <c r="I294" s="235">
        <f t="shared" si="10"/>
        <v>376022.13000000082</v>
      </c>
      <c r="J294" s="235">
        <f t="shared" si="10"/>
        <v>1287855.5099999467</v>
      </c>
      <c r="K294" s="235">
        <f t="shared" si="10"/>
        <v>1041751.3400000352</v>
      </c>
      <c r="L294" s="298">
        <f t="shared" si="10"/>
        <v>1502667.7700000191</v>
      </c>
      <c r="M294" s="298">
        <f t="shared" si="10"/>
        <v>1789912.5799999265</v>
      </c>
      <c r="N294" s="298">
        <f>N293-M293</f>
        <v>613153.9700000789</v>
      </c>
    </row>
    <row r="295" spans="1:14" x14ac:dyDescent="0.3">
      <c r="N295" s="220"/>
    </row>
  </sheetData>
  <autoFilter ref="A1:S1" xr:uid="{00000000-0001-0000-0300-000000000000}">
    <sortState xmlns:xlrd2="http://schemas.microsoft.com/office/spreadsheetml/2017/richdata2" ref="A2:S278">
      <sortCondition sortBy="cellColor" ref="A1" dxfId="0"/>
    </sortState>
  </autoFilter>
  <sortState xmlns:xlrd2="http://schemas.microsoft.com/office/spreadsheetml/2017/richdata2" ref="A2:E293">
    <sortCondition ref="A2:A293"/>
  </sortState>
  <phoneticPr fontId="3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>
      <selection activeCell="P16" sqref="P16"/>
    </sheetView>
  </sheetViews>
  <sheetFormatPr defaultColWidth="9" defaultRowHeight="12.75" x14ac:dyDescent="0.2"/>
  <cols>
    <col min="1" max="1" width="9" style="10"/>
    <col min="2" max="2" width="23.875" style="10" bestFit="1" customWidth="1"/>
    <col min="3" max="4" width="9" style="10"/>
    <col min="5" max="6" width="10.75" style="10" bestFit="1" customWidth="1"/>
    <col min="7" max="7" width="15.125" style="10" customWidth="1"/>
    <col min="8" max="9" width="11.125" style="10" bestFit="1" customWidth="1"/>
    <col min="10" max="14" width="10.75" style="10" bestFit="1" customWidth="1"/>
    <col min="15" max="16" width="11.125" style="10" bestFit="1" customWidth="1"/>
    <col min="17" max="17" width="9" style="10"/>
    <col min="18" max="18" width="53.5" style="10" bestFit="1" customWidth="1"/>
    <col min="19" max="16384" width="9" style="10"/>
  </cols>
  <sheetData>
    <row r="1" spans="1:18" x14ac:dyDescent="0.2">
      <c r="A1" s="231" t="s">
        <v>806</v>
      </c>
      <c r="B1" s="231" t="s">
        <v>804</v>
      </c>
      <c r="C1" s="231" t="s">
        <v>805</v>
      </c>
      <c r="D1" s="231" t="s">
        <v>811</v>
      </c>
      <c r="E1" s="232">
        <v>45292</v>
      </c>
      <c r="F1" s="232">
        <v>45323</v>
      </c>
      <c r="G1" s="232">
        <v>45352</v>
      </c>
      <c r="H1" s="232">
        <v>45383</v>
      </c>
      <c r="I1" s="232">
        <v>45413</v>
      </c>
      <c r="J1" s="232">
        <v>45444</v>
      </c>
      <c r="K1" s="232">
        <v>45474</v>
      </c>
      <c r="L1" s="232">
        <v>45505</v>
      </c>
      <c r="M1" s="232">
        <v>45536</v>
      </c>
      <c r="N1" s="232">
        <v>45566</v>
      </c>
      <c r="O1" s="232">
        <v>45597</v>
      </c>
      <c r="P1" s="232">
        <v>45627</v>
      </c>
    </row>
    <row r="2" spans="1:18" x14ac:dyDescent="0.2">
      <c r="A2" s="231" t="s">
        <v>131</v>
      </c>
      <c r="B2" s="231" t="s">
        <v>807</v>
      </c>
      <c r="C2" s="231" t="s">
        <v>808</v>
      </c>
      <c r="D2" s="231"/>
      <c r="E2" s="238">
        <v>-1540686.0200000005</v>
      </c>
      <c r="F2" s="238">
        <v>-1011316.2000000002</v>
      </c>
      <c r="G2" s="238">
        <v>-1294979.57</v>
      </c>
      <c r="H2" s="238">
        <v>-649724.37999999989</v>
      </c>
      <c r="I2" s="238">
        <v>-996652.94</v>
      </c>
      <c r="J2" s="238">
        <f>-211459.58</f>
        <v>-211459.58</v>
      </c>
      <c r="K2" s="238">
        <v>-359633.28</v>
      </c>
      <c r="L2" s="238">
        <v>-214650.11</v>
      </c>
      <c r="M2" s="238">
        <v>-354188.21</v>
      </c>
      <c r="N2" s="238">
        <v>-317080.86</v>
      </c>
      <c r="O2" s="238">
        <v>-68313.88</v>
      </c>
      <c r="P2" s="238">
        <v>-98485.17</v>
      </c>
      <c r="R2" s="233" t="s">
        <v>812</v>
      </c>
    </row>
    <row r="3" spans="1:18" x14ac:dyDescent="0.2">
      <c r="A3" s="231" t="s">
        <v>131</v>
      </c>
      <c r="B3" s="231" t="s">
        <v>807</v>
      </c>
      <c r="C3" s="231" t="s">
        <v>810</v>
      </c>
      <c r="D3" s="231"/>
      <c r="E3" s="238">
        <v>-76384.86</v>
      </c>
      <c r="F3" s="238">
        <v>-60127.31</v>
      </c>
      <c r="G3" s="238">
        <v>-61749.189999999995</v>
      </c>
      <c r="H3" s="238">
        <v>-22875.400000000005</v>
      </c>
      <c r="I3" s="238">
        <v>-52851.24</v>
      </c>
      <c r="J3" s="238">
        <v>-17705.669999999998</v>
      </c>
      <c r="K3" s="238">
        <v>-48323.78</v>
      </c>
      <c r="L3" s="238">
        <v>20970.71</v>
      </c>
      <c r="M3" s="238">
        <v>-16484.97</v>
      </c>
      <c r="N3" s="238">
        <v>-20628.18</v>
      </c>
      <c r="O3" s="238">
        <v>-1214.03</v>
      </c>
      <c r="P3" s="238">
        <v>-3954.95</v>
      </c>
      <c r="R3" s="233" t="s">
        <v>813</v>
      </c>
    </row>
    <row r="4" spans="1:18" x14ac:dyDescent="0.2">
      <c r="A4" s="231" t="s">
        <v>131</v>
      </c>
      <c r="B4" s="231" t="s">
        <v>809</v>
      </c>
      <c r="C4" s="231" t="s">
        <v>808</v>
      </c>
      <c r="D4" s="231"/>
      <c r="E4" s="238"/>
      <c r="F4" s="238"/>
      <c r="G4" s="238"/>
      <c r="H4" s="238"/>
      <c r="I4" s="238"/>
      <c r="J4" s="238"/>
      <c r="K4" s="238"/>
      <c r="L4" s="238"/>
      <c r="M4" s="238"/>
      <c r="N4" s="238">
        <v>-849507.79</v>
      </c>
      <c r="O4" s="238"/>
      <c r="P4" s="238"/>
    </row>
    <row r="5" spans="1:18" x14ac:dyDescent="0.2">
      <c r="A5" s="231" t="s">
        <v>131</v>
      </c>
      <c r="B5" s="231" t="s">
        <v>809</v>
      </c>
      <c r="C5" s="231" t="s">
        <v>810</v>
      </c>
      <c r="D5" s="231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</row>
    <row r="6" spans="1:18" x14ac:dyDescent="0.2">
      <c r="A6" s="231" t="s">
        <v>734</v>
      </c>
      <c r="B6" s="231" t="s">
        <v>807</v>
      </c>
      <c r="C6" s="231"/>
      <c r="D6" s="231"/>
      <c r="E6" s="238">
        <v>1609262.79</v>
      </c>
      <c r="F6" s="238">
        <v>1069470.3700000001</v>
      </c>
      <c r="G6" s="238">
        <v>1351515.75</v>
      </c>
      <c r="H6" s="238">
        <v>672656.4</v>
      </c>
      <c r="I6" s="238">
        <v>1023277.94</v>
      </c>
      <c r="J6" s="238">
        <v>182833.19</v>
      </c>
      <c r="K6" s="238">
        <v>406914.31</v>
      </c>
      <c r="L6" s="238">
        <v>193650.04</v>
      </c>
      <c r="M6" s="238">
        <v>370074.74</v>
      </c>
      <c r="N6" s="238">
        <f>104495.75+232562.57</f>
        <v>337058.32</v>
      </c>
      <c r="O6" s="238">
        <v>66641.62</v>
      </c>
      <c r="P6" s="238">
        <v>105645.87</v>
      </c>
      <c r="R6" s="233" t="s">
        <v>829</v>
      </c>
    </row>
    <row r="7" spans="1:18" x14ac:dyDescent="0.2">
      <c r="A7" s="231" t="s">
        <v>734</v>
      </c>
      <c r="B7" s="231" t="s">
        <v>809</v>
      </c>
      <c r="C7" s="231"/>
      <c r="D7" s="231"/>
      <c r="E7" s="238"/>
      <c r="F7" s="238"/>
      <c r="G7" s="238"/>
      <c r="H7" s="238"/>
      <c r="I7" s="238"/>
      <c r="J7" s="238"/>
      <c r="K7" s="238"/>
      <c r="L7" s="238"/>
      <c r="M7" s="238"/>
      <c r="N7" s="238">
        <v>814347.18</v>
      </c>
      <c r="O7" s="238"/>
      <c r="P7" s="238"/>
    </row>
    <row r="8" spans="1:18" x14ac:dyDescent="0.2">
      <c r="K8" s="272"/>
    </row>
    <row r="9" spans="1:18" x14ac:dyDescent="0.2">
      <c r="A9" s="10" t="s">
        <v>173</v>
      </c>
      <c r="B9" s="231" t="s">
        <v>807</v>
      </c>
      <c r="E9" s="272">
        <f>SUMIF($B$2:$B$7,$B9,E$2:E$7)</f>
        <v>-7808.0900000005495</v>
      </c>
      <c r="F9" s="272">
        <f>SUMIF($B$2:$B$7,$B9,F$2:F$7)</f>
        <v>-1973.1400000001304</v>
      </c>
      <c r="G9" s="272">
        <f>SUMIF($B$2:$B$7,$B9,G$2:G$7)</f>
        <v>-5213.0100000000093</v>
      </c>
      <c r="H9" s="272">
        <f t="shared" ref="H9:P10" si="0">SUMIF($B$2:$B$7,$B9,H$2:H$7)</f>
        <v>56.620000000111759</v>
      </c>
      <c r="I9" s="272">
        <f>SUMIF($B$2:$B$7,$B9,I$2:I$7)</f>
        <v>-26226.239999999991</v>
      </c>
      <c r="J9" s="10">
        <f>SUMIF($B$2:$B$7,$B9,J$2:J$7)</f>
        <v>-46332.06</v>
      </c>
      <c r="K9" s="272">
        <f t="shared" si="0"/>
        <v>-1042.7500000000582</v>
      </c>
      <c r="L9" s="10">
        <f t="shared" si="0"/>
        <v>-29.35999999998603</v>
      </c>
      <c r="M9" s="10">
        <f>SUMIF($B$2:$B$7,$B9,M$2:M$7)</f>
        <v>-598.44000000006054</v>
      </c>
      <c r="N9" s="272">
        <f>SUMIF($B$2:$B$7,$B9,N$2:N$7)</f>
        <v>-650.71999999997206</v>
      </c>
      <c r="O9" s="10">
        <f t="shared" si="0"/>
        <v>-2886.2900000000081</v>
      </c>
      <c r="P9" s="10">
        <f t="shared" si="0"/>
        <v>3205.75</v>
      </c>
    </row>
    <row r="10" spans="1:18" x14ac:dyDescent="0.2">
      <c r="B10" s="231" t="s">
        <v>809</v>
      </c>
      <c r="E10" s="272">
        <f t="shared" ref="E10:F10" si="1">SUMIF($B$2:$B$7,$B10,E$2:E$7)</f>
        <v>0</v>
      </c>
      <c r="F10" s="272">
        <f t="shared" si="1"/>
        <v>0</v>
      </c>
      <c r="G10" s="272">
        <f>SUMIF($B$2:$B$7,$B10,G$2:G$7)</f>
        <v>0</v>
      </c>
      <c r="H10" s="272">
        <f t="shared" si="0"/>
        <v>0</v>
      </c>
      <c r="I10" s="272">
        <f t="shared" si="0"/>
        <v>0</v>
      </c>
      <c r="J10" s="10">
        <f t="shared" si="0"/>
        <v>0</v>
      </c>
      <c r="K10" s="272">
        <f t="shared" si="0"/>
        <v>0</v>
      </c>
      <c r="L10" s="10">
        <f t="shared" si="0"/>
        <v>0</v>
      </c>
      <c r="M10" s="10">
        <f t="shared" si="0"/>
        <v>0</v>
      </c>
      <c r="N10" s="272">
        <f t="shared" si="0"/>
        <v>-35160.609999999986</v>
      </c>
      <c r="O10" s="10">
        <f t="shared" si="0"/>
        <v>0</v>
      </c>
      <c r="P10" s="10">
        <f t="shared" si="0"/>
        <v>0</v>
      </c>
    </row>
    <row r="11" spans="1:18" ht="13.5" thickBot="1" x14ac:dyDescent="0.25">
      <c r="C11" s="234"/>
      <c r="D11" s="234"/>
      <c r="E11" s="273">
        <f t="shared" ref="E11:F11" si="2">SUM(E9:E10)</f>
        <v>-7808.0900000005495</v>
      </c>
      <c r="F11" s="273">
        <f t="shared" si="2"/>
        <v>-1973.1400000001304</v>
      </c>
      <c r="G11" s="273">
        <f>SUM(G9:G10)</f>
        <v>-5213.0100000000093</v>
      </c>
      <c r="H11" s="273">
        <f t="shared" ref="H11:P11" si="3">SUM(H9:H10)</f>
        <v>56.620000000111759</v>
      </c>
      <c r="I11" s="273">
        <f t="shared" si="3"/>
        <v>-26226.239999999991</v>
      </c>
      <c r="J11" s="234">
        <f t="shared" si="3"/>
        <v>-46332.06</v>
      </c>
      <c r="K11" s="273">
        <f t="shared" si="3"/>
        <v>-1042.7500000000582</v>
      </c>
      <c r="L11" s="234">
        <f t="shared" si="3"/>
        <v>-29.35999999998603</v>
      </c>
      <c r="M11" s="234">
        <f t="shared" si="3"/>
        <v>-598.44000000006054</v>
      </c>
      <c r="N11" s="273">
        <f t="shared" si="3"/>
        <v>-35811.329999999958</v>
      </c>
      <c r="O11" s="234">
        <f t="shared" si="3"/>
        <v>-2886.2900000000081</v>
      </c>
      <c r="P11" s="234">
        <f t="shared" si="3"/>
        <v>3205.75</v>
      </c>
    </row>
    <row r="24" spans="4:6" x14ac:dyDescent="0.2">
      <c r="D24" s="10">
        <v>1958</v>
      </c>
      <c r="E24" s="10">
        <v>1984</v>
      </c>
      <c r="F24" s="10">
        <f>D24-E24</f>
        <v>-26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workbookViewId="0">
      <selection activeCell="O16" sqref="O16"/>
    </sheetView>
  </sheetViews>
  <sheetFormatPr defaultRowHeight="15" x14ac:dyDescent="0.3"/>
  <cols>
    <col min="3" max="3" width="16.75" bestFit="1" customWidth="1"/>
    <col min="4" max="4" width="12.5" bestFit="1" customWidth="1"/>
    <col min="5" max="5" width="12.25" bestFit="1" customWidth="1"/>
    <col min="6" max="8" width="12.5" bestFit="1" customWidth="1"/>
    <col min="9" max="9" width="12.625" bestFit="1" customWidth="1"/>
    <col min="10" max="14" width="12.5" bestFit="1" customWidth="1"/>
    <col min="15" max="15" width="12.25" bestFit="1" customWidth="1"/>
  </cols>
  <sheetData>
    <row r="2" spans="1:17" x14ac:dyDescent="0.3">
      <c r="A2" t="s">
        <v>806</v>
      </c>
      <c r="B2" t="s">
        <v>811</v>
      </c>
      <c r="D2" s="230">
        <v>45292</v>
      </c>
      <c r="E2" s="230">
        <v>45323</v>
      </c>
      <c r="F2" s="230">
        <v>45352</v>
      </c>
      <c r="G2" s="230">
        <v>45383</v>
      </c>
      <c r="H2" s="230">
        <v>45413</v>
      </c>
      <c r="I2" s="230">
        <v>45444</v>
      </c>
      <c r="J2" s="230">
        <v>45474</v>
      </c>
      <c r="K2" s="230">
        <v>45505</v>
      </c>
      <c r="L2" s="230">
        <v>45536</v>
      </c>
      <c r="M2" s="230">
        <v>45566</v>
      </c>
      <c r="N2" s="230">
        <v>45597</v>
      </c>
      <c r="O2" s="230">
        <v>45627</v>
      </c>
    </row>
    <row r="3" spans="1:17" x14ac:dyDescent="0.3">
      <c r="A3" t="s">
        <v>131</v>
      </c>
      <c r="B3" t="s">
        <v>814</v>
      </c>
      <c r="C3" t="s">
        <v>808</v>
      </c>
      <c r="D3" s="185"/>
      <c r="E3" s="240"/>
      <c r="F3" s="185"/>
      <c r="G3" s="185"/>
      <c r="H3" s="185"/>
      <c r="I3" s="185"/>
      <c r="J3" s="185"/>
      <c r="K3" s="185"/>
      <c r="L3" s="185"/>
      <c r="M3" s="185"/>
      <c r="N3" s="185"/>
      <c r="O3" s="185"/>
      <c r="Q3" t="s">
        <v>819</v>
      </c>
    </row>
    <row r="4" spans="1:17" x14ac:dyDescent="0.3">
      <c r="A4" t="s">
        <v>131</v>
      </c>
      <c r="B4" t="s">
        <v>814</v>
      </c>
      <c r="C4" t="s">
        <v>810</v>
      </c>
      <c r="D4" s="185"/>
      <c r="E4" s="240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7" x14ac:dyDescent="0.3">
      <c r="A5" t="s">
        <v>131</v>
      </c>
      <c r="B5" t="s">
        <v>815</v>
      </c>
      <c r="C5" t="s">
        <v>808</v>
      </c>
      <c r="D5" s="240"/>
      <c r="E5" s="240"/>
      <c r="F5" s="185"/>
      <c r="G5" s="240">
        <v>-929134.49</v>
      </c>
      <c r="H5" s="185">
        <v>-1153991.92</v>
      </c>
      <c r="I5" s="185">
        <v>-924848.20999999985</v>
      </c>
      <c r="J5" s="185">
        <v>-987285.03</v>
      </c>
      <c r="K5" s="185">
        <v>-614818.56999999995</v>
      </c>
      <c r="L5" s="240">
        <v>-249014.19</v>
      </c>
      <c r="M5" s="185" t="e">
        <v>#REF!</v>
      </c>
      <c r="N5" s="185">
        <v>-257639.44</v>
      </c>
      <c r="O5" s="185">
        <v>-283284.89000000007</v>
      </c>
    </row>
    <row r="6" spans="1:17" x14ac:dyDescent="0.3">
      <c r="A6" t="s">
        <v>131</v>
      </c>
      <c r="B6" t="s">
        <v>815</v>
      </c>
      <c r="C6" t="s">
        <v>810</v>
      </c>
      <c r="D6" s="240"/>
      <c r="E6" s="240"/>
      <c r="F6" s="185"/>
      <c r="G6" s="240">
        <v>-15559.13</v>
      </c>
      <c r="H6" s="185">
        <v>-21944.25</v>
      </c>
      <c r="I6" s="185">
        <v>-19837.61</v>
      </c>
      <c r="J6" s="185">
        <v>-23720.460000000003</v>
      </c>
      <c r="K6" s="185">
        <v>-13028.48</v>
      </c>
      <c r="L6" s="240">
        <v>-6195.6100000000006</v>
      </c>
      <c r="M6" s="185" t="e">
        <v>#REF!</v>
      </c>
      <c r="N6" s="185">
        <v>-6334.53</v>
      </c>
      <c r="O6" s="185">
        <v>-6884.5100000000011</v>
      </c>
    </row>
    <row r="7" spans="1:17" x14ac:dyDescent="0.3">
      <c r="A7" t="s">
        <v>131</v>
      </c>
      <c r="B7" t="s">
        <v>817</v>
      </c>
      <c r="C7" t="s">
        <v>808</v>
      </c>
      <c r="D7" s="240"/>
      <c r="E7" s="240"/>
      <c r="F7" s="185"/>
      <c r="G7" s="185"/>
      <c r="H7" s="185"/>
      <c r="I7" s="185"/>
      <c r="J7" s="185"/>
      <c r="K7" s="185"/>
      <c r="L7" s="302"/>
      <c r="M7" s="185"/>
      <c r="N7" s="185"/>
      <c r="O7" s="185"/>
    </row>
    <row r="8" spans="1:17" x14ac:dyDescent="0.3">
      <c r="A8" t="s">
        <v>131</v>
      </c>
      <c r="B8" t="s">
        <v>817</v>
      </c>
      <c r="C8" t="s">
        <v>810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</row>
    <row r="9" spans="1:17" x14ac:dyDescent="0.3">
      <c r="A9" t="s">
        <v>131</v>
      </c>
      <c r="B9" s="83" t="s">
        <v>892</v>
      </c>
      <c r="C9" t="s">
        <v>808</v>
      </c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</row>
    <row r="10" spans="1:17" x14ac:dyDescent="0.3">
      <c r="A10" t="s">
        <v>131</v>
      </c>
      <c r="B10" s="83" t="s">
        <v>892</v>
      </c>
      <c r="C10" t="s">
        <v>810</v>
      </c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</row>
    <row r="11" spans="1:17" ht="15.75" thickBot="1" x14ac:dyDescent="0.35">
      <c r="D11" s="237">
        <f t="shared" ref="D11" si="0">SUM(D3:D10)</f>
        <v>0</v>
      </c>
      <c r="E11" s="237">
        <f>SUM(E3:E10)</f>
        <v>0</v>
      </c>
      <c r="F11" s="237">
        <f t="shared" ref="F11:O11" si="1">SUM(F3:F10)</f>
        <v>0</v>
      </c>
      <c r="G11" s="237">
        <f t="shared" si="1"/>
        <v>-944693.62</v>
      </c>
      <c r="H11" s="237">
        <f t="shared" si="1"/>
        <v>-1175936.17</v>
      </c>
      <c r="I11" s="237">
        <f t="shared" si="1"/>
        <v>-944685.81999999983</v>
      </c>
      <c r="J11" s="237">
        <f t="shared" si="1"/>
        <v>-1011005.49</v>
      </c>
      <c r="K11" s="237">
        <f t="shared" si="1"/>
        <v>-627847.04999999993</v>
      </c>
      <c r="L11" s="237">
        <f t="shared" si="1"/>
        <v>-255209.8</v>
      </c>
      <c r="M11" s="237" t="e">
        <f t="shared" si="1"/>
        <v>#REF!</v>
      </c>
      <c r="N11" s="237">
        <f t="shared" si="1"/>
        <v>-263973.97000000003</v>
      </c>
      <c r="O11" s="237">
        <f t="shared" si="1"/>
        <v>-290169.40000000008</v>
      </c>
    </row>
    <row r="12" spans="1:17" ht="15.75" thickTop="1" x14ac:dyDescent="0.3"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</row>
    <row r="13" spans="1:17" x14ac:dyDescent="0.3"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</row>
    <row r="14" spans="1:17" x14ac:dyDescent="0.3">
      <c r="A14" t="s">
        <v>816</v>
      </c>
      <c r="B14" t="s">
        <v>814</v>
      </c>
      <c r="D14" s="240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</row>
    <row r="15" spans="1:17" x14ac:dyDescent="0.3">
      <c r="A15" t="s">
        <v>816</v>
      </c>
      <c r="B15" t="s">
        <v>817</v>
      </c>
      <c r="D15" s="240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</row>
    <row r="16" spans="1:17" x14ac:dyDescent="0.3">
      <c r="A16" t="s">
        <v>816</v>
      </c>
      <c r="B16" t="s">
        <v>815</v>
      </c>
      <c r="D16" s="270">
        <v>280.32</v>
      </c>
      <c r="E16" s="235">
        <v>1720.77</v>
      </c>
      <c r="F16" s="235">
        <v>396.01</v>
      </c>
      <c r="G16" s="235">
        <f>1227.91</f>
        <v>1227.9100000000001</v>
      </c>
      <c r="H16" s="235">
        <v>1589.28</v>
      </c>
      <c r="I16" s="235">
        <v>1285.5999999999999</v>
      </c>
      <c r="J16" s="235">
        <v>1368.48</v>
      </c>
      <c r="K16" s="235">
        <v>873.84</v>
      </c>
      <c r="L16" s="235">
        <v>408.28</v>
      </c>
      <c r="M16" s="235">
        <v>645.17999999999995</v>
      </c>
      <c r="N16" s="235">
        <v>448.59</v>
      </c>
      <c r="O16" s="235">
        <v>518.04999999999995</v>
      </c>
    </row>
    <row r="17" spans="1:15" x14ac:dyDescent="0.3">
      <c r="A17" t="s">
        <v>816</v>
      </c>
      <c r="B17" t="s">
        <v>892</v>
      </c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</row>
    <row r="18" spans="1:15" x14ac:dyDescent="0.3"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</row>
    <row r="19" spans="1:15" x14ac:dyDescent="0.3"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</row>
    <row r="20" spans="1:15" x14ac:dyDescent="0.3">
      <c r="A20" t="s">
        <v>818</v>
      </c>
      <c r="B20" t="s">
        <v>814</v>
      </c>
      <c r="C20" t="s">
        <v>820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</row>
    <row r="21" spans="1:15" x14ac:dyDescent="0.3">
      <c r="A21" t="s">
        <v>818</v>
      </c>
      <c r="B21" t="s">
        <v>814</v>
      </c>
      <c r="C21" t="s">
        <v>17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</row>
    <row r="22" spans="1:15" x14ac:dyDescent="0.3">
      <c r="A22" t="s">
        <v>818</v>
      </c>
      <c r="B22" t="s">
        <v>815</v>
      </c>
      <c r="C22" t="s">
        <v>820</v>
      </c>
      <c r="D22" s="185"/>
      <c r="E22" s="185"/>
      <c r="F22" s="185"/>
      <c r="G22" s="185">
        <f>892567.78+(936790.54-908126.91)</f>
        <v>921231.41</v>
      </c>
      <c r="H22" s="185">
        <v>1153651.0900000001</v>
      </c>
      <c r="I22" s="185">
        <v>904818.14</v>
      </c>
      <c r="J22" s="185">
        <v>946604.99</v>
      </c>
      <c r="K22" s="185">
        <v>614580.41039999994</v>
      </c>
      <c r="L22" s="185">
        <v>290919.90999999997</v>
      </c>
      <c r="M22" s="185">
        <v>455561.2</v>
      </c>
      <c r="N22" s="185">
        <v>309236.93</v>
      </c>
      <c r="O22" s="185">
        <v>331082.79693449999</v>
      </c>
    </row>
    <row r="23" spans="1:15" x14ac:dyDescent="0.3">
      <c r="A23" t="s">
        <v>818</v>
      </c>
      <c r="B23" t="s">
        <v>815</v>
      </c>
      <c r="C23" t="s">
        <v>17</v>
      </c>
      <c r="D23" s="185"/>
      <c r="E23" s="185"/>
      <c r="F23" s="185"/>
      <c r="G23" s="185">
        <v>15559.13</v>
      </c>
      <c r="H23" s="185">
        <v>26514.99</v>
      </c>
      <c r="I23" s="185">
        <v>19099.990000000002</v>
      </c>
      <c r="J23" s="185"/>
      <c r="K23" s="185"/>
      <c r="L23" s="185"/>
      <c r="M23" s="185"/>
      <c r="N23" s="185"/>
      <c r="O23" s="185"/>
    </row>
    <row r="24" spans="1:15" ht="15.75" thickBot="1" x14ac:dyDescent="0.35">
      <c r="D24" s="237">
        <f t="shared" ref="D24:J24" si="2">SUM(D20:D23)</f>
        <v>0</v>
      </c>
      <c r="E24" s="237">
        <f t="shared" si="2"/>
        <v>0</v>
      </c>
      <c r="F24" s="237">
        <f t="shared" si="2"/>
        <v>0</v>
      </c>
      <c r="G24" s="237">
        <f t="shared" si="2"/>
        <v>936790.54</v>
      </c>
      <c r="H24" s="237">
        <f t="shared" si="2"/>
        <v>1180166.08</v>
      </c>
      <c r="I24" s="237">
        <f t="shared" si="2"/>
        <v>923918.13</v>
      </c>
      <c r="J24" s="237">
        <f t="shared" si="2"/>
        <v>946604.99</v>
      </c>
      <c r="K24" s="237">
        <f>SUM(K20:K23)</f>
        <v>614580.41039999994</v>
      </c>
      <c r="L24" s="237">
        <f>SUM(L20:L23)</f>
        <v>290919.90999999997</v>
      </c>
      <c r="M24" s="237">
        <f>SUM(M20:M23)</f>
        <v>455561.2</v>
      </c>
      <c r="N24" s="237">
        <f>SUM(N20:N23)</f>
        <v>309236.93</v>
      </c>
      <c r="O24" s="237">
        <f>SUM(O20:O23)</f>
        <v>331082.79693449999</v>
      </c>
    </row>
    <row r="25" spans="1:15" ht="15.75" thickTop="1" x14ac:dyDescent="0.3"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</row>
    <row r="26" spans="1:15" x14ac:dyDescent="0.3">
      <c r="A26" t="s">
        <v>827</v>
      </c>
      <c r="B26" t="s">
        <v>815</v>
      </c>
      <c r="D26" s="185">
        <f t="shared" ref="D26:F26" si="3">D5+D6+D22+D23</f>
        <v>0</v>
      </c>
      <c r="E26" s="185">
        <f t="shared" si="3"/>
        <v>0</v>
      </c>
      <c r="F26" s="185">
        <f t="shared" si="3"/>
        <v>0</v>
      </c>
      <c r="G26" s="185">
        <f t="shared" ref="G26:O26" si="4">G5+G6+G22+G23</f>
        <v>-7903.0799999999635</v>
      </c>
      <c r="H26" s="185">
        <f t="shared" si="4"/>
        <v>4229.9100000001599</v>
      </c>
      <c r="I26" s="185">
        <f t="shared" si="4"/>
        <v>-20767.689999999817</v>
      </c>
      <c r="J26" s="185">
        <f t="shared" si="4"/>
        <v>-64400.5</v>
      </c>
      <c r="K26" s="185">
        <f t="shared" si="4"/>
        <v>-13266.639599999995</v>
      </c>
      <c r="L26" s="185">
        <f t="shared" si="4"/>
        <v>35710.109999999986</v>
      </c>
      <c r="M26" s="185" t="e">
        <f t="shared" si="4"/>
        <v>#REF!</v>
      </c>
      <c r="N26" s="185">
        <f t="shared" si="4"/>
        <v>45262.959999999963</v>
      </c>
      <c r="O26" s="185">
        <f t="shared" si="4"/>
        <v>40913.396934499906</v>
      </c>
    </row>
    <row r="27" spans="1:15" x14ac:dyDescent="0.3">
      <c r="A27" t="s">
        <v>827</v>
      </c>
      <c r="B27" t="s">
        <v>828</v>
      </c>
      <c r="D27" s="185">
        <f>D3+D4+D8+D20+D21+D7</f>
        <v>0</v>
      </c>
      <c r="E27" s="185">
        <f>E3+E4+E8+E20+E21+E7+E9+E10</f>
        <v>0</v>
      </c>
      <c r="F27" s="185">
        <f t="shared" ref="F27" si="5">F3+F4+F8+F20+F21+F7</f>
        <v>0</v>
      </c>
      <c r="G27" s="185">
        <f>G3+G4+G8+G20+G21+G7+G9+G10</f>
        <v>0</v>
      </c>
      <c r="H27" s="185">
        <f>H3+H4+H8+H20+H21+H7+H9+H10</f>
        <v>0</v>
      </c>
      <c r="I27" s="185">
        <f t="shared" ref="I27:O27" si="6">I3+I4+I8+I20+I21+I7</f>
        <v>0</v>
      </c>
      <c r="J27" s="185">
        <f t="shared" si="6"/>
        <v>0</v>
      </c>
      <c r="K27" s="185">
        <f t="shared" si="6"/>
        <v>0</v>
      </c>
      <c r="L27" s="185">
        <f t="shared" si="6"/>
        <v>0</v>
      </c>
      <c r="M27" s="185">
        <f t="shared" si="6"/>
        <v>0</v>
      </c>
      <c r="N27" s="185">
        <f t="shared" si="6"/>
        <v>0</v>
      </c>
      <c r="O27" s="185">
        <f t="shared" si="6"/>
        <v>0</v>
      </c>
    </row>
    <row r="28" spans="1:15" ht="15.75" thickBot="1" x14ac:dyDescent="0.35">
      <c r="D28" s="237">
        <f t="shared" ref="D28:M28" si="7">D26+D27</f>
        <v>0</v>
      </c>
      <c r="E28" s="237">
        <f t="shared" si="7"/>
        <v>0</v>
      </c>
      <c r="F28" s="237">
        <f t="shared" si="7"/>
        <v>0</v>
      </c>
      <c r="G28" s="237">
        <f t="shared" si="7"/>
        <v>-7903.0799999999635</v>
      </c>
      <c r="H28" s="237">
        <f t="shared" si="7"/>
        <v>4229.9100000001599</v>
      </c>
      <c r="I28" s="237">
        <f t="shared" si="7"/>
        <v>-20767.689999999817</v>
      </c>
      <c r="J28" s="237">
        <f t="shared" si="7"/>
        <v>-64400.5</v>
      </c>
      <c r="K28" s="237">
        <f t="shared" si="7"/>
        <v>-13266.639599999995</v>
      </c>
      <c r="L28" s="237">
        <f t="shared" si="7"/>
        <v>35710.109999999986</v>
      </c>
      <c r="M28" s="237" t="e">
        <f t="shared" si="7"/>
        <v>#REF!</v>
      </c>
      <c r="N28" s="237">
        <f>N26+N27</f>
        <v>45262.959999999963</v>
      </c>
      <c r="O28" s="237">
        <f>O26+O27</f>
        <v>40913.396934499906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A55"/>
  <sheetViews>
    <sheetView tabSelected="1" zoomScale="130" zoomScaleNormal="130" workbookViewId="0">
      <selection activeCell="E28" sqref="E28"/>
    </sheetView>
  </sheetViews>
  <sheetFormatPr defaultColWidth="8" defaultRowHeight="12.75" x14ac:dyDescent="0.2"/>
  <cols>
    <col min="1" max="1" width="34.25" style="2" bestFit="1" customWidth="1"/>
    <col min="2" max="2" width="2.125" style="2" customWidth="1"/>
    <col min="3" max="3" width="11.375" style="42" customWidth="1"/>
    <col min="4" max="4" width="11.375" style="38" customWidth="1"/>
    <col min="5" max="7" width="8" style="2" customWidth="1"/>
    <col min="8" max="16384" width="8" style="2"/>
  </cols>
  <sheetData>
    <row r="1" spans="1:7" ht="15.75" x14ac:dyDescent="0.25">
      <c r="A1" s="64" t="s">
        <v>0</v>
      </c>
      <c r="C1" s="38"/>
    </row>
    <row r="2" spans="1:7" ht="16.5" thickBot="1" x14ac:dyDescent="0.3">
      <c r="A2" s="64" t="s">
        <v>1066</v>
      </c>
      <c r="C2" s="2" t="s">
        <v>1077</v>
      </c>
      <c r="D2" s="2"/>
    </row>
    <row r="3" spans="1:7" x14ac:dyDescent="0.2">
      <c r="A3" s="143"/>
      <c r="B3" s="135"/>
      <c r="C3" s="339" t="s">
        <v>1067</v>
      </c>
      <c r="D3" s="340"/>
    </row>
    <row r="4" spans="1:7" s="40" customFormat="1" ht="15" x14ac:dyDescent="0.3">
      <c r="A4" s="144"/>
      <c r="B4" s="142"/>
      <c r="C4" s="159" t="s">
        <v>51</v>
      </c>
      <c r="D4" s="163" t="s">
        <v>52</v>
      </c>
    </row>
    <row r="5" spans="1:7" s="7" customFormat="1" x14ac:dyDescent="0.2">
      <c r="A5" s="145"/>
      <c r="B5" s="160"/>
      <c r="C5" s="161" t="s">
        <v>14</v>
      </c>
      <c r="D5" s="162" t="s">
        <v>14</v>
      </c>
    </row>
    <row r="6" spans="1:7" s="7" customFormat="1" ht="13.5" thickBot="1" x14ac:dyDescent="0.25">
      <c r="A6" s="145"/>
      <c r="B6" s="130"/>
      <c r="C6" s="137"/>
      <c r="D6" s="39"/>
    </row>
    <row r="7" spans="1:7" s="7" customFormat="1" x14ac:dyDescent="0.2">
      <c r="A7" s="146" t="s">
        <v>1074</v>
      </c>
      <c r="B7" s="131"/>
      <c r="C7" s="138">
        <v>75.013322369600971</v>
      </c>
      <c r="D7" s="67">
        <v>100</v>
      </c>
      <c r="E7" s="341"/>
      <c r="F7" s="341"/>
      <c r="G7" s="2"/>
    </row>
    <row r="8" spans="1:7" s="7" customFormat="1" x14ac:dyDescent="0.2">
      <c r="A8" s="145" t="s">
        <v>1075</v>
      </c>
      <c r="B8" s="131"/>
      <c r="C8" s="139">
        <v>76.618350176391985</v>
      </c>
      <c r="D8" s="13">
        <v>100</v>
      </c>
      <c r="E8" s="341"/>
      <c r="F8" s="341"/>
      <c r="G8" s="2"/>
    </row>
    <row r="9" spans="1:7" s="7" customFormat="1" x14ac:dyDescent="0.2">
      <c r="A9" s="145"/>
      <c r="B9" s="131"/>
      <c r="C9" s="139"/>
      <c r="D9" s="13"/>
      <c r="E9" s="341"/>
      <c r="F9" s="341"/>
      <c r="G9" s="2"/>
    </row>
    <row r="10" spans="1:7" s="7" customFormat="1" x14ac:dyDescent="0.2">
      <c r="A10" s="145" t="s">
        <v>1076</v>
      </c>
      <c r="B10" s="131"/>
      <c r="C10" s="139">
        <v>76.445161521905163</v>
      </c>
      <c r="D10" s="13">
        <v>100</v>
      </c>
      <c r="E10" s="341"/>
      <c r="F10" s="341"/>
      <c r="G10" s="2"/>
    </row>
    <row r="11" spans="1:7" s="7" customFormat="1" x14ac:dyDescent="0.2">
      <c r="A11" s="145"/>
      <c r="B11" s="131"/>
      <c r="C11" s="139"/>
      <c r="D11" s="13"/>
      <c r="E11" s="341"/>
      <c r="F11" s="341"/>
      <c r="G11" s="2"/>
    </row>
    <row r="12" spans="1:7" s="7" customFormat="1" ht="13.5" thickBot="1" x14ac:dyDescent="0.25">
      <c r="A12" s="147" t="s">
        <v>109</v>
      </c>
      <c r="B12" s="131"/>
      <c r="C12" s="347">
        <v>99.773959300757411</v>
      </c>
      <c r="D12" s="348">
        <v>100</v>
      </c>
      <c r="E12" s="341"/>
      <c r="F12" s="341"/>
      <c r="G12" s="2"/>
    </row>
    <row r="13" spans="1:7" s="7" customFormat="1" x14ac:dyDescent="0.2">
      <c r="A13" s="145"/>
      <c r="B13" s="130"/>
      <c r="C13" s="137"/>
      <c r="D13" s="39"/>
      <c r="E13" s="341"/>
      <c r="F13" s="341"/>
      <c r="G13" s="2"/>
    </row>
    <row r="14" spans="1:7" s="7" customFormat="1" x14ac:dyDescent="0.2">
      <c r="A14" s="145"/>
      <c r="B14" s="130"/>
      <c r="C14" s="137"/>
      <c r="D14" s="39"/>
      <c r="E14" s="341"/>
      <c r="F14" s="341"/>
      <c r="G14" s="2"/>
    </row>
    <row r="15" spans="1:7" s="7" customFormat="1" x14ac:dyDescent="0.2">
      <c r="A15" s="148" t="s">
        <v>15</v>
      </c>
      <c r="B15" s="130"/>
      <c r="C15" s="137"/>
      <c r="D15" s="349"/>
      <c r="E15" s="341"/>
      <c r="F15" s="341"/>
      <c r="G15" s="2"/>
    </row>
    <row r="16" spans="1:7" x14ac:dyDescent="0.2">
      <c r="A16" s="149" t="s">
        <v>16</v>
      </c>
      <c r="B16" s="132"/>
      <c r="C16" s="350">
        <v>87.940348537656263</v>
      </c>
      <c r="D16" s="350">
        <v>100</v>
      </c>
      <c r="E16" s="341"/>
      <c r="F16" s="341"/>
    </row>
    <row r="17" spans="1:6" x14ac:dyDescent="0.2">
      <c r="A17" s="149" t="s">
        <v>17</v>
      </c>
      <c r="B17" s="132"/>
      <c r="C17" s="350">
        <v>64.516917038103813</v>
      </c>
      <c r="D17" s="350">
        <v>100</v>
      </c>
      <c r="E17" s="341"/>
      <c r="F17" s="341"/>
    </row>
    <row r="18" spans="1:6" ht="13.5" thickBot="1" x14ac:dyDescent="0.25">
      <c r="A18" s="149" t="s">
        <v>18</v>
      </c>
      <c r="B18" s="132"/>
      <c r="C18" s="350">
        <v>30.105234137658705</v>
      </c>
      <c r="D18" s="350">
        <v>100</v>
      </c>
      <c r="E18" s="341"/>
      <c r="F18" s="341"/>
    </row>
    <row r="19" spans="1:6" ht="13.5" thickBot="1" x14ac:dyDescent="0.25">
      <c r="A19" s="154" t="s">
        <v>19</v>
      </c>
      <c r="B19" s="133"/>
      <c r="C19" s="346">
        <v>86.594050544004759</v>
      </c>
      <c r="D19" s="346">
        <v>100</v>
      </c>
      <c r="E19" s="341"/>
      <c r="F19" s="341"/>
    </row>
    <row r="20" spans="1:6" x14ac:dyDescent="0.2">
      <c r="A20" s="156"/>
      <c r="B20" s="131"/>
      <c r="C20" s="138"/>
      <c r="D20" s="67"/>
      <c r="E20" s="341"/>
      <c r="F20" s="341"/>
    </row>
    <row r="21" spans="1:6" x14ac:dyDescent="0.2">
      <c r="A21" s="149" t="s">
        <v>55</v>
      </c>
      <c r="B21" s="132"/>
      <c r="C21" s="350">
        <v>91.952462901771483</v>
      </c>
      <c r="D21" s="13">
        <v>100</v>
      </c>
      <c r="E21" s="341"/>
      <c r="F21" s="341"/>
    </row>
    <row r="22" spans="1:6" x14ac:dyDescent="0.2">
      <c r="A22" s="150" t="s">
        <v>161</v>
      </c>
      <c r="B22" s="131"/>
      <c r="C22" s="140"/>
      <c r="D22" s="68"/>
      <c r="E22" s="341"/>
      <c r="F22" s="341"/>
    </row>
    <row r="23" spans="1:6" ht="13.5" thickBot="1" x14ac:dyDescent="0.25">
      <c r="A23" s="157"/>
      <c r="B23" s="131"/>
      <c r="C23" s="158"/>
      <c r="D23" s="164"/>
      <c r="E23" s="341"/>
      <c r="F23" s="341"/>
    </row>
    <row r="24" spans="1:6" x14ac:dyDescent="0.2">
      <c r="A24" s="151"/>
      <c r="B24" s="131"/>
      <c r="C24" s="141"/>
      <c r="D24" s="24"/>
      <c r="E24" s="341"/>
      <c r="F24" s="341"/>
    </row>
    <row r="25" spans="1:6" x14ac:dyDescent="0.2">
      <c r="A25" s="152" t="s">
        <v>25</v>
      </c>
      <c r="B25" s="131"/>
      <c r="C25" s="139"/>
      <c r="D25" s="13"/>
      <c r="E25" s="341"/>
      <c r="F25" s="341"/>
    </row>
    <row r="26" spans="1:6" s="7" customFormat="1" x14ac:dyDescent="0.2">
      <c r="A26" s="150" t="s">
        <v>26</v>
      </c>
      <c r="B26" s="130"/>
      <c r="C26" s="342">
        <v>100.54879404166367</v>
      </c>
      <c r="D26" s="13">
        <v>100</v>
      </c>
      <c r="E26" s="341"/>
      <c r="F26" s="341"/>
    </row>
    <row r="27" spans="1:6" s="19" customFormat="1" x14ac:dyDescent="0.2">
      <c r="A27" s="153"/>
      <c r="B27" s="134"/>
      <c r="C27" s="28"/>
      <c r="D27" s="28"/>
      <c r="E27" s="341"/>
      <c r="F27" s="341"/>
    </row>
    <row r="28" spans="1:6" s="7" customFormat="1" x14ac:dyDescent="0.2">
      <c r="A28" s="150" t="s">
        <v>109</v>
      </c>
      <c r="B28" s="130"/>
      <c r="C28" s="343">
        <v>96.417564250529779</v>
      </c>
      <c r="D28" s="13">
        <v>100.00000000000001</v>
      </c>
      <c r="E28" s="341"/>
      <c r="F28" s="341"/>
    </row>
    <row r="29" spans="1:6" s="19" customFormat="1" x14ac:dyDescent="0.2">
      <c r="A29" s="153"/>
      <c r="B29" s="134"/>
      <c r="C29" s="28"/>
      <c r="D29" s="28"/>
      <c r="E29" s="341"/>
      <c r="F29" s="341"/>
    </row>
    <row r="30" spans="1:6" s="7" customFormat="1" x14ac:dyDescent="0.2">
      <c r="A30" s="149" t="s">
        <v>28</v>
      </c>
      <c r="B30" s="130"/>
      <c r="C30" s="343">
        <v>123.53820942532477</v>
      </c>
      <c r="D30" s="13">
        <v>100</v>
      </c>
      <c r="E30" s="341"/>
      <c r="F30" s="341"/>
    </row>
    <row r="31" spans="1:6" s="19" customFormat="1" x14ac:dyDescent="0.2">
      <c r="A31" s="149" t="s">
        <v>29</v>
      </c>
      <c r="B31" s="134"/>
      <c r="C31" s="343">
        <v>87.144009590766998</v>
      </c>
      <c r="D31" s="13">
        <v>100</v>
      </c>
      <c r="E31" s="341"/>
      <c r="F31" s="341"/>
    </row>
    <row r="32" spans="1:6" x14ac:dyDescent="0.2">
      <c r="A32" s="149" t="s">
        <v>30</v>
      </c>
      <c r="B32" s="131"/>
      <c r="C32" s="343">
        <v>110.31998484756555</v>
      </c>
      <c r="D32" s="13">
        <v>100</v>
      </c>
      <c r="E32" s="341"/>
      <c r="F32" s="341"/>
    </row>
    <row r="33" spans="1:6" x14ac:dyDescent="0.2">
      <c r="A33" s="149" t="s">
        <v>31</v>
      </c>
      <c r="B33" s="131"/>
      <c r="C33" s="343">
        <v>129.37579761208048</v>
      </c>
      <c r="D33" s="13">
        <v>100</v>
      </c>
      <c r="E33" s="341"/>
      <c r="F33" s="341"/>
    </row>
    <row r="34" spans="1:6" x14ac:dyDescent="0.2">
      <c r="A34" s="149" t="s">
        <v>32</v>
      </c>
      <c r="B34" s="131"/>
      <c r="C34" s="343">
        <v>127.13187122689898</v>
      </c>
      <c r="D34" s="13">
        <v>100</v>
      </c>
      <c r="E34" s="341"/>
      <c r="F34" s="341"/>
    </row>
    <row r="35" spans="1:6" x14ac:dyDescent="0.2">
      <c r="A35" s="149" t="s">
        <v>281</v>
      </c>
      <c r="B35" s="131"/>
      <c r="C35" s="343">
        <v>103.58601013534836</v>
      </c>
      <c r="D35" s="13">
        <v>100</v>
      </c>
      <c r="E35" s="341"/>
      <c r="F35" s="341"/>
    </row>
    <row r="36" spans="1:6" x14ac:dyDescent="0.2">
      <c r="A36" s="149" t="s">
        <v>754</v>
      </c>
      <c r="B36" s="131"/>
      <c r="C36" s="343">
        <v>24.411817396887685</v>
      </c>
      <c r="D36" s="13">
        <v>100</v>
      </c>
      <c r="E36" s="341"/>
      <c r="F36" s="341"/>
    </row>
    <row r="37" spans="1:6" x14ac:dyDescent="0.2">
      <c r="A37" s="149" t="s">
        <v>33</v>
      </c>
      <c r="B37" s="131"/>
      <c r="C37" s="343">
        <v>129.60224629505808</v>
      </c>
      <c r="D37" s="13">
        <v>100</v>
      </c>
      <c r="E37" s="341"/>
      <c r="F37" s="341"/>
    </row>
    <row r="38" spans="1:6" x14ac:dyDescent="0.2">
      <c r="A38" s="149" t="s">
        <v>169</v>
      </c>
      <c r="B38" s="131"/>
      <c r="C38" s="13"/>
      <c r="D38" s="13"/>
      <c r="E38" s="341"/>
      <c r="F38" s="341"/>
    </row>
    <row r="39" spans="1:6" ht="13.5" thickBot="1" x14ac:dyDescent="0.25">
      <c r="A39" s="149"/>
      <c r="B39" s="131"/>
      <c r="C39" s="344"/>
      <c r="D39" s="14"/>
      <c r="E39" s="341"/>
      <c r="F39" s="341"/>
    </row>
    <row r="40" spans="1:6" ht="13.5" thickBot="1" x14ac:dyDescent="0.25">
      <c r="A40" s="154" t="s">
        <v>163</v>
      </c>
      <c r="B40" s="130"/>
      <c r="C40" s="345">
        <v>107.34302476286162</v>
      </c>
      <c r="D40" s="346">
        <v>100</v>
      </c>
      <c r="E40" s="341"/>
      <c r="F40" s="341"/>
    </row>
    <row r="41" spans="1:6" x14ac:dyDescent="0.2">
      <c r="A41" s="149"/>
      <c r="B41" s="131"/>
      <c r="C41" s="139"/>
      <c r="D41" s="13"/>
      <c r="E41" s="341"/>
      <c r="F41" s="341"/>
    </row>
    <row r="42" spans="1:6" x14ac:dyDescent="0.2">
      <c r="A42" s="150" t="s">
        <v>110</v>
      </c>
      <c r="B42" s="131"/>
      <c r="C42" s="141"/>
      <c r="D42" s="24"/>
      <c r="E42" s="341"/>
      <c r="F42" s="341"/>
    </row>
    <row r="43" spans="1:6" x14ac:dyDescent="0.2">
      <c r="A43" s="149" t="s">
        <v>40</v>
      </c>
      <c r="B43" s="131"/>
      <c r="C43" s="13">
        <v>123.4201507544975</v>
      </c>
      <c r="D43" s="13">
        <v>100</v>
      </c>
      <c r="E43" s="341"/>
      <c r="F43" s="341"/>
    </row>
    <row r="44" spans="1:6" x14ac:dyDescent="0.2">
      <c r="A44" s="149" t="s">
        <v>42</v>
      </c>
      <c r="B44" s="131"/>
      <c r="C44" s="13">
        <v>118.07031000721959</v>
      </c>
      <c r="D44" s="13">
        <v>100</v>
      </c>
      <c r="E44" s="341"/>
      <c r="F44" s="341"/>
    </row>
    <row r="45" spans="1:6" x14ac:dyDescent="0.2">
      <c r="A45" s="149"/>
      <c r="B45" s="131"/>
      <c r="C45" s="139"/>
      <c r="D45" s="13"/>
      <c r="E45" s="341"/>
      <c r="F45" s="341"/>
    </row>
    <row r="46" spans="1:6" x14ac:dyDescent="0.2">
      <c r="A46" s="150" t="s">
        <v>41</v>
      </c>
      <c r="B46" s="131"/>
      <c r="C46" s="139"/>
      <c r="D46" s="13"/>
      <c r="E46" s="341"/>
      <c r="F46" s="341"/>
    </row>
    <row r="47" spans="1:6" x14ac:dyDescent="0.2">
      <c r="A47" s="149" t="s">
        <v>43</v>
      </c>
      <c r="B47" s="131"/>
      <c r="C47" s="13">
        <v>199.50575729347653</v>
      </c>
      <c r="D47" s="13">
        <v>100</v>
      </c>
      <c r="E47" s="341"/>
      <c r="F47" s="341"/>
    </row>
    <row r="48" spans="1:6" ht="13.5" thickBot="1" x14ac:dyDescent="0.25">
      <c r="A48" s="149"/>
      <c r="B48" s="131"/>
      <c r="C48" s="139"/>
      <c r="D48" s="13"/>
      <c r="E48" s="341"/>
      <c r="F48" s="341"/>
    </row>
    <row r="49" spans="1:6" ht="13.5" thickBot="1" x14ac:dyDescent="0.25">
      <c r="A49" s="155" t="s">
        <v>162</v>
      </c>
      <c r="B49" s="131"/>
      <c r="C49" s="345">
        <v>110.75082760731178</v>
      </c>
      <c r="D49" s="346">
        <v>100</v>
      </c>
      <c r="E49" s="341"/>
      <c r="F49" s="341"/>
    </row>
    <row r="50" spans="1:6" x14ac:dyDescent="0.2">
      <c r="A50" s="149"/>
      <c r="B50" s="131"/>
      <c r="C50" s="140"/>
      <c r="D50" s="68"/>
      <c r="E50" s="341"/>
      <c r="F50" s="341"/>
    </row>
    <row r="51" spans="1:6" x14ac:dyDescent="0.2">
      <c r="A51" s="150" t="s">
        <v>1078</v>
      </c>
      <c r="B51" s="131"/>
      <c r="C51" s="68">
        <v>82.079717601269209</v>
      </c>
      <c r="D51" s="68">
        <v>100</v>
      </c>
      <c r="E51" s="341"/>
      <c r="F51" s="341"/>
    </row>
    <row r="52" spans="1:6" ht="13.5" thickBot="1" x14ac:dyDescent="0.25">
      <c r="A52" s="149"/>
      <c r="B52" s="131"/>
      <c r="C52" s="140"/>
      <c r="D52" s="68"/>
      <c r="E52" s="341"/>
      <c r="F52" s="341"/>
    </row>
    <row r="53" spans="1:6" s="7" customFormat="1" ht="13.5" thickBot="1" x14ac:dyDescent="0.25">
      <c r="A53" s="155" t="s">
        <v>162</v>
      </c>
      <c r="B53" s="136"/>
      <c r="C53" s="322">
        <v>108.40363243343462</v>
      </c>
      <c r="D53" s="69">
        <v>100</v>
      </c>
      <c r="E53" s="341"/>
      <c r="F53" s="341"/>
    </row>
    <row r="54" spans="1:6" x14ac:dyDescent="0.2">
      <c r="B54" s="38"/>
    </row>
    <row r="55" spans="1:6" x14ac:dyDescent="0.2">
      <c r="A55" s="7"/>
      <c r="B55" s="38"/>
      <c r="C55" s="176"/>
      <c r="D55" s="176"/>
    </row>
  </sheetData>
  <mergeCells count="1">
    <mergeCell ref="C3:D3"/>
  </mergeCells>
  <pageMargins left="0.27559055118110237" right="0.27559055118110237" top="0.47244094488188981" bottom="0.27559055118110237" header="0.47244094488188981" footer="0.47244094488188981"/>
  <pageSetup paperSize="9" scale="47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D34BC-911E-4330-96A3-9600E58B92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1CAD32-7AAD-4D79-B0EC-A9F9305BFE1D}">
  <ds:schemaRefs>
    <ds:schemaRef ds:uri="http://schemas.microsoft.com/office/2006/metadata/properties"/>
    <ds:schemaRef ds:uri="http://schemas.microsoft.com/office/infopath/2007/PartnerControls"/>
    <ds:schemaRef ds:uri="96f38ffc-b787-42bb-bc74-62f3cd4a93ba"/>
    <ds:schemaRef ds:uri="3807c68b-4105-44b1-b484-3124efc52211"/>
  </ds:schemaRefs>
</ds:datastoreItem>
</file>

<file path=customXml/itemProps3.xml><?xml version="1.0" encoding="utf-8"?>
<ds:datastoreItem xmlns:ds="http://schemas.openxmlformats.org/officeDocument/2006/customXml" ds:itemID="{C8CB181E-5B9F-47DF-8696-AA094380B8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Budget 2024</vt:lpstr>
      <vt:lpstr>Payroll (H)</vt:lpstr>
      <vt:lpstr>P&amp;L Pivot (H)</vt:lpstr>
      <vt:lpstr>Input TB</vt:lpstr>
      <vt:lpstr>BS Pivot (H)</vt:lpstr>
      <vt:lpstr>TB (H)</vt:lpstr>
      <vt:lpstr>Intercompany Detail (H)</vt:lpstr>
      <vt:lpstr>Traded Detail (H)</vt:lpstr>
      <vt:lpstr>Cost per Tonne</vt:lpstr>
      <vt:lpstr>Spartan costs 2021-2024</vt:lpstr>
      <vt:lpstr>Cashflow</vt:lpstr>
      <vt:lpstr>Data</vt:lpstr>
      <vt:lpstr>Days</vt:lpstr>
      <vt:lpstr>'Cost per Tonne'!CEORIGINE</vt:lpstr>
      <vt:lpstr>'Cost per Tonne'!CEVALAGG</vt:lpstr>
      <vt:lpstr>'Input TB'!Date</vt:lpstr>
      <vt:lpstr>Cashflow!Print_Area</vt:lpstr>
      <vt:lpstr>'Cost per Tonne'!Print_Area</vt:lpstr>
      <vt:lpstr>'Input TB'!Print_Area</vt:lpstr>
      <vt:lpstr>'Cost per Tonne'!Print_Titles</vt:lpstr>
      <vt:lpstr>'Input TB'!Print_Titles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2024-07-09T14:25:34Z</cp:lastPrinted>
  <dcterms:created xsi:type="dcterms:W3CDTF">2010-03-15T16:19:47Z</dcterms:created>
  <dcterms:modified xsi:type="dcterms:W3CDTF">2025-04-03T13:06:51Z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3326be-e87c-450f-b844-a0416e4f441f_Enabled">
    <vt:lpwstr>true</vt:lpwstr>
  </property>
  <property fmtid="{D5CDD505-2E9C-101B-9397-08002B2CF9AE}" pid="3" name="MSIP_Label_db3326be-e87c-450f-b844-a0416e4f441f_SetDate">
    <vt:lpwstr>2020-11-10T15:00:24Z</vt:lpwstr>
  </property>
  <property fmtid="{D5CDD505-2E9C-101B-9397-08002B2CF9AE}" pid="4" name="MSIP_Label_db3326be-e87c-450f-b844-a0416e4f441f_Method">
    <vt:lpwstr>Standard</vt:lpwstr>
  </property>
  <property fmtid="{D5CDD505-2E9C-101B-9397-08002B2CF9AE}" pid="5" name="MSIP_Label_db3326be-e87c-450f-b844-a0416e4f441f_Name">
    <vt:lpwstr>SPT Restricted access</vt:lpwstr>
  </property>
  <property fmtid="{D5CDD505-2E9C-101B-9397-08002B2CF9AE}" pid="6" name="MSIP_Label_db3326be-e87c-450f-b844-a0416e4f441f_SiteId">
    <vt:lpwstr>b0bbbc89-2041-434f-8618-bc081a1a01d4</vt:lpwstr>
  </property>
  <property fmtid="{D5CDD505-2E9C-101B-9397-08002B2CF9AE}" pid="7" name="MSIP_Label_db3326be-e87c-450f-b844-a0416e4f441f_ActionId">
    <vt:lpwstr>7b655700-9025-4758-bd2c-06f8cdc8de6a</vt:lpwstr>
  </property>
  <property fmtid="{D5CDD505-2E9C-101B-9397-08002B2CF9AE}" pid="8" name="MSIP_Label_db3326be-e87c-450f-b844-a0416e4f441f_ContentBits">
    <vt:lpwstr>0</vt:lpwstr>
  </property>
  <property fmtid="{D5CDD505-2E9C-101B-9397-08002B2CF9AE}" pid="9" name="ContentTypeId">
    <vt:lpwstr>0x010100C9280E48E807ED4AA4BA7BE40CA69573</vt:lpwstr>
  </property>
  <property fmtid="{D5CDD505-2E9C-101B-9397-08002B2CF9AE}" pid="10" name="MediaServiceImageTags">
    <vt:lpwstr/>
  </property>
</Properties>
</file>